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4555" windowHeight="11895" activeTab="3"/>
  </bookViews>
  <sheets>
    <sheet name="Phase 1" sheetId="1" r:id="rId1"/>
    <sheet name="Phase 2" sheetId="2" r:id="rId2"/>
    <sheet name="Phase 3" sheetId="3" r:id="rId3"/>
    <sheet name="Phase 4" sheetId="4" r:id="rId4"/>
  </sheets>
  <externalReferences>
    <externalReference r:id="rId7"/>
  </externalReferences>
  <definedNames>
    <definedName name="_xlnm.Print_Area" localSheetId="0">'Phase 1'!$A$1:$CU$85</definedName>
  </definedNames>
  <calcPr fullCalcOnLoad="1"/>
</workbook>
</file>

<file path=xl/sharedStrings.xml><?xml version="1.0" encoding="utf-8"?>
<sst xmlns="http://schemas.openxmlformats.org/spreadsheetml/2006/main" count="3597" uniqueCount="270">
  <si>
    <t>Vitamins</t>
  </si>
  <si>
    <t>Additives</t>
  </si>
  <si>
    <t>Composite</t>
  </si>
  <si>
    <t>&lt;0.2</t>
  </si>
  <si>
    <t>&lt;5</t>
  </si>
  <si>
    <t>&lt;0.1</t>
  </si>
  <si>
    <t>&lt;0.02</t>
  </si>
  <si>
    <t>&lt;1</t>
  </si>
  <si>
    <t>&lt;1.0</t>
  </si>
  <si>
    <t>Food Name</t>
  </si>
  <si>
    <t>Sample Type (Individual or Composite)</t>
  </si>
  <si>
    <t>Physical</t>
  </si>
  <si>
    <t>Proximates</t>
  </si>
  <si>
    <t>Specific Gravity</t>
  </si>
  <si>
    <t xml:space="preserve">Apple, pink lady, unpeeled, raw  </t>
  </si>
  <si>
    <t xml:space="preserve">Baby spinach, fresh/raw </t>
  </si>
  <si>
    <t>Fructose (g)</t>
  </si>
  <si>
    <t>Glucose (g)</t>
  </si>
  <si>
    <t>Sucrose (g)</t>
  </si>
  <si>
    <t>Maltose (g)</t>
  </si>
  <si>
    <t>Lactose (g)</t>
  </si>
  <si>
    <t>Total Sugars (g)</t>
  </si>
  <si>
    <t>Moisture (g)</t>
  </si>
  <si>
    <t>Fat (g)</t>
  </si>
  <si>
    <t>Protein  (g)</t>
  </si>
  <si>
    <t>Ash (g)</t>
  </si>
  <si>
    <t>Starch (g)</t>
  </si>
  <si>
    <t>Fibre (g)</t>
  </si>
  <si>
    <t>Vitamin C (g)</t>
  </si>
  <si>
    <t>Alpha-Carotene (µg)</t>
  </si>
  <si>
    <t>Beta-Carotene (µg)</t>
  </si>
  <si>
    <t>Cryptoxanthin (µg)</t>
  </si>
  <si>
    <t>alpha-tocopherol (mg)</t>
  </si>
  <si>
    <t>beta-tocopherol (mg)</t>
  </si>
  <si>
    <t>delta-tocopherol (mg)</t>
  </si>
  <si>
    <t>gamma-tocopherol (mg)</t>
  </si>
  <si>
    <t>Thiamin B1 (mg)</t>
  </si>
  <si>
    <t>Riboflavin B2 (mg)</t>
  </si>
  <si>
    <t>Niacin B3 (mg)</t>
  </si>
  <si>
    <t>Pyridoxine B6 (mg)</t>
  </si>
  <si>
    <t>Cobalamin B12 (µg)</t>
  </si>
  <si>
    <t>Total Folates (µg)</t>
  </si>
  <si>
    <t>&lt;3</t>
  </si>
  <si>
    <t>Pantothenic Acid B5 (mg)</t>
  </si>
  <si>
    <t>Tryptophan (mg)</t>
  </si>
  <si>
    <t>&lt;0.04</t>
  </si>
  <si>
    <t>Trace Elements</t>
  </si>
  <si>
    <t>Caffeine (mg)</t>
  </si>
  <si>
    <t xml:space="preserve">Calcium (mg) </t>
  </si>
  <si>
    <t>Copper (mg)</t>
  </si>
  <si>
    <t>Manganese (mg)</t>
  </si>
  <si>
    <t>Phosphorus (mg)</t>
  </si>
  <si>
    <t>Sodium (mg)</t>
  </si>
  <si>
    <t>Zinc (mg)</t>
  </si>
  <si>
    <t>Potassium (mg)</t>
  </si>
  <si>
    <t>Magnesium (mg)</t>
  </si>
  <si>
    <t>Iron (mg)</t>
  </si>
  <si>
    <t>&lt;0.5</t>
  </si>
  <si>
    <t>Amino acids</t>
  </si>
  <si>
    <t>Saturated Fatty Acids</t>
  </si>
  <si>
    <t>C4 (%)</t>
  </si>
  <si>
    <t>C6 (%)</t>
  </si>
  <si>
    <t>C8 (%)</t>
  </si>
  <si>
    <t>C10 (%)</t>
  </si>
  <si>
    <t>C12 (%)</t>
  </si>
  <si>
    <t>C14 (%)</t>
  </si>
  <si>
    <t>C15 (%)</t>
  </si>
  <si>
    <t>C16 (%)</t>
  </si>
  <si>
    <t>C17 (%)</t>
  </si>
  <si>
    <t>C18 (%)</t>
  </si>
  <si>
    <t>C20 (%)</t>
  </si>
  <si>
    <t>C22 (%)</t>
  </si>
  <si>
    <t>C24 (%)</t>
  </si>
  <si>
    <t>C14:1 (%)</t>
  </si>
  <si>
    <t>C16:1 (%)</t>
  </si>
  <si>
    <t>C17:1 (%)</t>
  </si>
  <si>
    <t>C18:1 (%)</t>
  </si>
  <si>
    <t>C20:1 (%)</t>
  </si>
  <si>
    <t>C22:1 (%)</t>
  </si>
  <si>
    <t>C24:1 (%)</t>
  </si>
  <si>
    <t>C18:2w6 (%)</t>
  </si>
  <si>
    <t>C18:3w6 (%)</t>
  </si>
  <si>
    <t>C18:3w3 (%)</t>
  </si>
  <si>
    <t>C20:2w6 (%)</t>
  </si>
  <si>
    <t>C20:3w6 (%)</t>
  </si>
  <si>
    <t>C20:3w3 (%)</t>
  </si>
  <si>
    <t>C20:4w6 (%)</t>
  </si>
  <si>
    <t>C20:5w3 (%)</t>
  </si>
  <si>
    <t>C22:2w6 (%)</t>
  </si>
  <si>
    <t>C22:4w6 (%)</t>
  </si>
  <si>
    <t>C22:5w3 (%)</t>
  </si>
  <si>
    <t>C22:6w3 (%)</t>
  </si>
  <si>
    <t>C18:1 9t (%)</t>
  </si>
  <si>
    <t>C18:1 11t (%)</t>
  </si>
  <si>
    <t>C18:2 9t,12t w6 (%)</t>
  </si>
  <si>
    <t>C18:2 9c,12t w6 (%)</t>
  </si>
  <si>
    <t>C18:2 9t,12c w6 (%)</t>
  </si>
  <si>
    <t>C18:3 9t,12t,15t w3 (%)</t>
  </si>
  <si>
    <t>C18:3 (9c,12t,15t)+(9t,12c,15t) w3 (%)</t>
  </si>
  <si>
    <t>C18:3 (9c,12c,15t)+(9t,12t,15c) w3 (%)</t>
  </si>
  <si>
    <t>C18:3 9c,12t,15c w3 (%)</t>
  </si>
  <si>
    <t>C18:3 9t,12c,15c w3 (%)</t>
  </si>
  <si>
    <t>Mono-unsaturated Fatty Acids</t>
  </si>
  <si>
    <t>Poly-unsaturated Fatty Acids</t>
  </si>
  <si>
    <t>Trans fatty acids</t>
  </si>
  <si>
    <t>Omega 3 fats (g)</t>
  </si>
  <si>
    <t>Trans fats (g)</t>
  </si>
  <si>
    <t>Poly-unsaturated fat (g)</t>
  </si>
  <si>
    <t>Poly trans fats (g)</t>
  </si>
  <si>
    <t>Mono trans fats (g)</t>
  </si>
  <si>
    <t>Omega 6 fats (g)</t>
  </si>
  <si>
    <t>Mono-unsaturated fat (g)</t>
  </si>
  <si>
    <t>Saturated Fat (g)</t>
  </si>
  <si>
    <t>VEGETABLES</t>
  </si>
  <si>
    <t>BEVERAGES - NON-ALCOHOLIC</t>
  </si>
  <si>
    <t>CEREALS AND CEREAL PRODUCTS</t>
  </si>
  <si>
    <t>Fats</t>
  </si>
  <si>
    <t>Iodine (µg)</t>
  </si>
  <si>
    <t>Selenium (µg)</t>
  </si>
  <si>
    <t>Molybdenum (µg)</t>
  </si>
  <si>
    <t>Chromium (µg)</t>
  </si>
  <si>
    <t>Cadmium (µg)</t>
  </si>
  <si>
    <t>Arsenic (µg)</t>
  </si>
  <si>
    <t>Aluminium (µg)</t>
  </si>
  <si>
    <t>Lead (µg</t>
  </si>
  <si>
    <t>&lt;0.001</t>
  </si>
  <si>
    <t>&lt;50</t>
  </si>
  <si>
    <t>FRUITS</t>
  </si>
  <si>
    <t>Individual - 1</t>
  </si>
  <si>
    <t>Individual - 2</t>
  </si>
  <si>
    <t>Individual - 3</t>
  </si>
  <si>
    <t>Individual - 4</t>
  </si>
  <si>
    <t>Individual - 5</t>
  </si>
  <si>
    <t>Individual - 6</t>
  </si>
  <si>
    <t>Individual - 7</t>
  </si>
  <si>
    <t>Individual - 8</t>
  </si>
  <si>
    <t>Mandarin, peeled, fresh/raw</t>
  </si>
  <si>
    <t>Orange, peeled, fresh/raw</t>
  </si>
  <si>
    <t>Pear, green skinned, unpeeled, fresh/raw</t>
  </si>
  <si>
    <t xml:space="preserve">Carrot, mature peeled, fresh/raw </t>
  </si>
  <si>
    <t xml:space="preserve">Onion, brown skinned, peeled, fresh/raw  </t>
  </si>
  <si>
    <t xml:space="preserve">Rocket, fresh/raw </t>
  </si>
  <si>
    <t xml:space="preserve">Coffee, instant, dry powder or granules </t>
  </si>
  <si>
    <t xml:space="preserve">Tea, green, plain, teabags or leaves, without milk </t>
  </si>
  <si>
    <t xml:space="preserve">Soft drink, cola flavour, regular </t>
  </si>
  <si>
    <t xml:space="preserve">Noodle, buckwheat or soba, boiled, drained </t>
  </si>
  <si>
    <t xml:space="preserve">Noodle, rice stick, boiled, drained </t>
  </si>
  <si>
    <t xml:space="preserve">Noodle, wheat, instant, flavoured, uncooked </t>
  </si>
  <si>
    <t xml:space="preserve">Noodle, wheat, instant, flavoured, boiled, drained </t>
  </si>
  <si>
    <t xml:space="preserve">Sample Information </t>
  </si>
  <si>
    <t>Organic Acids</t>
  </si>
  <si>
    <t>Amino Acids</t>
  </si>
  <si>
    <t>Trans Fatty Acids</t>
  </si>
  <si>
    <t>Retinol (µg)</t>
  </si>
  <si>
    <t>Lycopene  (µg)</t>
  </si>
  <si>
    <t>Thiamin (mg)</t>
  </si>
  <si>
    <t>Riboflavin (mg)</t>
  </si>
  <si>
    <t>Niacin (mg)</t>
  </si>
  <si>
    <t>Pantothenic Acid (mg)</t>
  </si>
  <si>
    <t>Pyridoxine  (mg)</t>
  </si>
  <si>
    <t>Vitamin B12 (µg)</t>
  </si>
  <si>
    <t>Ergocalciferol (µg)</t>
  </si>
  <si>
    <t>Cholcalciferol (µg)</t>
  </si>
  <si>
    <t>25-Hydroxy Vitamin D3  (µg)</t>
  </si>
  <si>
    <t>25-Hydroxy Vitamin D2  (µg)</t>
  </si>
  <si>
    <t>Malic Acid (mg)</t>
  </si>
  <si>
    <t>Quinic acid (mg)</t>
  </si>
  <si>
    <t>Lactic acid (mg)</t>
  </si>
  <si>
    <t>Citric acid (mg)</t>
  </si>
  <si>
    <t>Acetic Acid (mg)</t>
  </si>
  <si>
    <t>Lead (µg)</t>
  </si>
  <si>
    <t>Calcium (mg)</t>
  </si>
  <si>
    <t>Cholesterol (mg)</t>
  </si>
  <si>
    <t>FRUIT</t>
  </si>
  <si>
    <t xml:space="preserve">Mango, peeled, raw </t>
  </si>
  <si>
    <t>&lt;5.0</t>
  </si>
  <si>
    <t>&lt;2.75</t>
  </si>
  <si>
    <t>&lt;20</t>
  </si>
  <si>
    <t>Mango, peeled, raw</t>
  </si>
  <si>
    <t xml:space="preserve">Melon, watermelon, peeled, raw </t>
  </si>
  <si>
    <t xml:space="preserve">Avocado, peeled, raw  </t>
  </si>
  <si>
    <t xml:space="preserve">Cucumber, Lebanese, unpeeled, raw </t>
  </si>
  <si>
    <t xml:space="preserve">Tomato, common, raw </t>
  </si>
  <si>
    <t xml:space="preserve">Coffee, caffeinated, espresso/short black  </t>
  </si>
  <si>
    <t>FATS AND OILS</t>
  </si>
  <si>
    <t xml:space="preserve">Dairy blend, butter &amp; edible oil spread, regular fat &amp; salt </t>
  </si>
  <si>
    <t>DAIRY</t>
  </si>
  <si>
    <t xml:space="preserve">Yoghurt, natural, regular fat </t>
  </si>
  <si>
    <t xml:space="preserve">Milk, cow, skim, unfortified  </t>
  </si>
  <si>
    <t>Rice, brown, boiled in unsalted water</t>
  </si>
  <si>
    <t>MEAT PRODUCTS</t>
  </si>
  <si>
    <t xml:space="preserve">Bacon, short cut, fried in pan without added fat </t>
  </si>
  <si>
    <t xml:space="preserve">Bacon, middle rasher, separable lean, fried in pan without added fat </t>
  </si>
  <si>
    <t>Bacon, middle rasher, separable fat, fried in pan without added fat</t>
  </si>
  <si>
    <t xml:space="preserve">Salmon, smoked </t>
  </si>
  <si>
    <t>SAVOURY SAUCES AND CONDIMENTS</t>
  </si>
  <si>
    <t>Sauce, tomato, commercial, regular</t>
  </si>
  <si>
    <t>Trace elements</t>
  </si>
  <si>
    <t>Protein (g)</t>
  </si>
  <si>
    <t>Galactose (g)</t>
  </si>
  <si>
    <t>Propionic Acid (mg)</t>
  </si>
  <si>
    <t>Butyric Acid (mg)</t>
  </si>
  <si>
    <t>Blueberry, fresh, raw</t>
  </si>
  <si>
    <t>Broccoli, fresh, boiled in unsalted water</t>
  </si>
  <si>
    <t xml:space="preserve">Individual - 1 </t>
  </si>
  <si>
    <t xml:space="preserve">Individual - 2 </t>
  </si>
  <si>
    <t xml:space="preserve">Individual - 4 </t>
  </si>
  <si>
    <t xml:space="preserve">Individual - 7 </t>
  </si>
  <si>
    <t xml:space="preserve">Individual - 8 </t>
  </si>
  <si>
    <t>Bean, green, fresh, raw</t>
  </si>
  <si>
    <t>Juice, apple, commercial, shelf stable, added vitamin C</t>
  </si>
  <si>
    <t>Juice, orange, commercial, fresh &amp; shelf stable, added vitamin C</t>
  </si>
  <si>
    <t>Milk, cow, lactose free, regular fat</t>
  </si>
  <si>
    <t>Cheese, cheddar, processed, regular fat (approx 25% fat)</t>
  </si>
  <si>
    <t>Yogurt, vanilla flavoured, regular fat (approx 3% fat)</t>
  </si>
  <si>
    <t>DAIRY SUBSTITUTES</t>
  </si>
  <si>
    <t>Milk, oat, fluid</t>
  </si>
  <si>
    <t>Milk, oat fluid, fortified</t>
  </si>
  <si>
    <t xml:space="preserve">Milk, oat fluid, unfortified </t>
  </si>
  <si>
    <t>Taco shell, from corn flour, plain</t>
  </si>
  <si>
    <t>Rice, white, rice cooker</t>
  </si>
  <si>
    <t>Rice, white, purchased par-cooked or instant</t>
  </si>
  <si>
    <t>NUTS AND NUT PRODUCTS</t>
  </si>
  <si>
    <t>Nut, almond, raw, with skin, unsalted</t>
  </si>
  <si>
    <t>Sauce, soy, commercial, regular</t>
  </si>
  <si>
    <t>MISCELLANEOUS</t>
  </si>
  <si>
    <t>Cocoa Powder</t>
  </si>
  <si>
    <t>Maltotriose (g)</t>
  </si>
  <si>
    <t>Maltodextrin (g)</t>
  </si>
  <si>
    <t>Alcohol</t>
  </si>
  <si>
    <t>Alcohol  (g)</t>
  </si>
  <si>
    <t>Lactic Acid  (g)</t>
  </si>
  <si>
    <t>Succinic Acid (g)</t>
  </si>
  <si>
    <t>Tartaric Acid (g)</t>
  </si>
  <si>
    <t>Malic Acid (g)</t>
  </si>
  <si>
    <t>Citric Acid (g)</t>
  </si>
  <si>
    <t>Acetic Acid  (g)</t>
  </si>
  <si>
    <t>alpha-Carotene (µg)</t>
  </si>
  <si>
    <t>beta-Carotene (µg)</t>
  </si>
  <si>
    <t>Pyridoxine (mg)</t>
  </si>
  <si>
    <t>ALCOHOLIC BEVERAGES</t>
  </si>
  <si>
    <t>BEERS</t>
  </si>
  <si>
    <t>Beer, high alcohol 5% v/v &amp; above</t>
  </si>
  <si>
    <t>&lt;0.01</t>
  </si>
  <si>
    <t>&lt;0.003</t>
  </si>
  <si>
    <t>&lt;10</t>
  </si>
  <si>
    <t xml:space="preserve">Individual - 3 </t>
  </si>
  <si>
    <t xml:space="preserve">Individual - 6 </t>
  </si>
  <si>
    <t>Beer, full strength (alcohol 4-4.9% v/v)</t>
  </si>
  <si>
    <t>&lt;0.040</t>
  </si>
  <si>
    <t>Beer, mid-strength (alcohol 3-3.9% v/v)</t>
  </si>
  <si>
    <t>Beer, light (alcohol 1-&lt;3% v/v)</t>
  </si>
  <si>
    <t>Beer, mid-strength (alcohol 3 - 4.6% v/v), carbohydrate modified</t>
  </si>
  <si>
    <t>WINES</t>
  </si>
  <si>
    <t>Wine, white, dry style (sugar content , 1%), chardonnay</t>
  </si>
  <si>
    <t>Wine, white, dry style (sugar content , 1%), semillon</t>
  </si>
  <si>
    <t>Wine, white, dry style (sugar content , 1%), sauvignon blanc</t>
  </si>
  <si>
    <t>Wine, white, medium dry style, reisling</t>
  </si>
  <si>
    <t>Wine, white, sparkling</t>
  </si>
  <si>
    <t>Wine, white, sweet dessert style</t>
  </si>
  <si>
    <t>Wine, red, shiraz</t>
  </si>
  <si>
    <t>Wine, red, cabernet sauvignon</t>
  </si>
  <si>
    <t>Wine, red, merlot</t>
  </si>
  <si>
    <t>Wine, red, pinot noir</t>
  </si>
  <si>
    <t>Wine, rose</t>
  </si>
  <si>
    <t>CIDER</t>
  </si>
  <si>
    <t>Cider, apple (alcohol ~4-5% v/v)</t>
  </si>
  <si>
    <t>Average</t>
  </si>
  <si>
    <t>AUSNUT / NUTTAB</t>
  </si>
  <si>
    <t>USDA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</si>
</sst>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77">
    <font>
      <sz val="10"/>
      <color theme="1"/>
      <name val="Helvetica"/>
      <family val="2"/>
    </font>
    <font>
      <sz val="10"/>
      <color indexed="8"/>
      <name val="Helvetica"/>
      <family val="2"/>
    </font>
    <font>
      <sz val="11"/>
      <color indexed="8"/>
      <name val="Calibri"/>
      <family val="2"/>
    </font>
    <font>
      <sz val="10"/>
      <color indexed="9"/>
      <name val="Helvetica"/>
      <family val="2"/>
    </font>
    <font>
      <sz val="11"/>
      <color indexed="9"/>
      <name val="Calibri"/>
      <family val="2"/>
    </font>
    <font>
      <sz val="10"/>
      <color indexed="20"/>
      <name val="Helvetica"/>
      <family val="2"/>
    </font>
    <font>
      <sz val="11"/>
      <color indexed="20"/>
      <name val="Calibri"/>
      <family val="2"/>
    </font>
    <font>
      <b/>
      <sz val="10"/>
      <color indexed="52"/>
      <name val="Helvetica"/>
      <family val="2"/>
    </font>
    <font>
      <b/>
      <sz val="11"/>
      <color indexed="52"/>
      <name val="Calibri"/>
      <family val="2"/>
    </font>
    <font>
      <b/>
      <sz val="10"/>
      <color indexed="9"/>
      <name val="Helvetica"/>
      <family val="2"/>
    </font>
    <font>
      <b/>
      <sz val="11"/>
      <color indexed="9"/>
      <name val="Calibri"/>
      <family val="2"/>
    </font>
    <font>
      <i/>
      <sz val="10"/>
      <color indexed="23"/>
      <name val="Helvetica"/>
      <family val="2"/>
    </font>
    <font>
      <i/>
      <sz val="11"/>
      <color indexed="23"/>
      <name val="Calibri"/>
      <family val="2"/>
    </font>
    <font>
      <u val="single"/>
      <sz val="10"/>
      <color indexed="20"/>
      <name val="Helvetica"/>
      <family val="2"/>
    </font>
    <font>
      <sz val="10"/>
      <color indexed="17"/>
      <name val="Helvetica"/>
      <family val="2"/>
    </font>
    <font>
      <sz val="11"/>
      <color indexed="17"/>
      <name val="Calibri"/>
      <family val="2"/>
    </font>
    <font>
      <b/>
      <sz val="15"/>
      <color indexed="56"/>
      <name val="Helvetica"/>
      <family val="2"/>
    </font>
    <font>
      <b/>
      <sz val="15"/>
      <color indexed="56"/>
      <name val="Calibri"/>
      <family val="2"/>
    </font>
    <font>
      <b/>
      <sz val="13"/>
      <color indexed="56"/>
      <name val="Helvetica"/>
      <family val="2"/>
    </font>
    <font>
      <b/>
      <sz val="13"/>
      <color indexed="56"/>
      <name val="Calibri"/>
      <family val="2"/>
    </font>
    <font>
      <b/>
      <sz val="11"/>
      <color indexed="56"/>
      <name val="Helvetica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etica"/>
      <family val="2"/>
    </font>
    <font>
      <sz val="10"/>
      <color indexed="62"/>
      <name val="Helvetica"/>
      <family val="2"/>
    </font>
    <font>
      <sz val="11"/>
      <color indexed="62"/>
      <name val="Calibri"/>
      <family val="2"/>
    </font>
    <font>
      <sz val="10"/>
      <color indexed="52"/>
      <name val="Helvetica"/>
      <family val="2"/>
    </font>
    <font>
      <sz val="11"/>
      <color indexed="52"/>
      <name val="Calibri"/>
      <family val="2"/>
    </font>
    <font>
      <sz val="10"/>
      <color indexed="60"/>
      <name val="Helvetica"/>
      <family val="2"/>
    </font>
    <font>
      <sz val="11"/>
      <color indexed="60"/>
      <name val="Calibri"/>
      <family val="2"/>
    </font>
    <font>
      <b/>
      <sz val="10"/>
      <color indexed="63"/>
      <name val="Helvetic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Helvetica"/>
      <family val="2"/>
    </font>
    <font>
      <b/>
      <sz val="11"/>
      <color indexed="8"/>
      <name val="Calibri"/>
      <family val="2"/>
    </font>
    <font>
      <sz val="10"/>
      <color indexed="10"/>
      <name val="Helvetica"/>
      <family val="2"/>
    </font>
    <font>
      <sz val="11"/>
      <color indexed="10"/>
      <name val="Calibri"/>
      <family val="2"/>
    </font>
    <font>
      <sz val="11"/>
      <color indexed="8"/>
      <name val="Helvetica"/>
      <family val="2"/>
    </font>
    <font>
      <sz val="11"/>
      <color indexed="20"/>
      <name val="Helvetica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0"/>
      <color theme="0"/>
      <name val="Helvetica"/>
      <family val="2"/>
    </font>
    <font>
      <sz val="11"/>
      <color theme="0"/>
      <name val="Calibri"/>
      <family val="2"/>
    </font>
    <font>
      <sz val="10"/>
      <color rgb="FF9C0006"/>
      <name val="Helvetica"/>
      <family val="2"/>
    </font>
    <font>
      <sz val="11"/>
      <color rgb="FF9C0006"/>
      <name val="Calibri"/>
      <family val="2"/>
    </font>
    <font>
      <b/>
      <sz val="10"/>
      <color rgb="FFFA7D00"/>
      <name val="Helvetica"/>
      <family val="2"/>
    </font>
    <font>
      <b/>
      <sz val="11"/>
      <color rgb="FFFA7D00"/>
      <name val="Calibri"/>
      <family val="2"/>
    </font>
    <font>
      <b/>
      <sz val="10"/>
      <color theme="0"/>
      <name val="Helvetica"/>
      <family val="2"/>
    </font>
    <font>
      <b/>
      <sz val="11"/>
      <color theme="0"/>
      <name val="Calibri"/>
      <family val="2"/>
    </font>
    <font>
      <i/>
      <sz val="10"/>
      <color rgb="FF7F7F7F"/>
      <name val="Helvetica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etica"/>
      <family val="2"/>
    </font>
    <font>
      <sz val="10"/>
      <color rgb="FF006100"/>
      <name val="Helvetica"/>
      <family val="2"/>
    </font>
    <font>
      <sz val="11"/>
      <color rgb="FF006100"/>
      <name val="Calibri"/>
      <family val="2"/>
    </font>
    <font>
      <b/>
      <sz val="15"/>
      <color theme="3"/>
      <name val="Helvetica"/>
      <family val="2"/>
    </font>
    <font>
      <b/>
      <sz val="15"/>
      <color theme="3"/>
      <name val="Calibri"/>
      <family val="2"/>
    </font>
    <font>
      <b/>
      <sz val="13"/>
      <color theme="3"/>
      <name val="Helvetica"/>
      <family val="2"/>
    </font>
    <font>
      <b/>
      <sz val="13"/>
      <color theme="3"/>
      <name val="Calibri"/>
      <family val="2"/>
    </font>
    <font>
      <b/>
      <sz val="11"/>
      <color theme="3"/>
      <name val="Helvetica"/>
      <family val="2"/>
    </font>
    <font>
      <b/>
      <sz val="11"/>
      <color theme="3"/>
      <name val="Calibri"/>
      <family val="2"/>
    </font>
    <font>
      <u val="single"/>
      <sz val="10"/>
      <color theme="10"/>
      <name val="Helvetica"/>
      <family val="2"/>
    </font>
    <font>
      <sz val="10"/>
      <color rgb="FF3F3F76"/>
      <name val="Helvetica"/>
      <family val="2"/>
    </font>
    <font>
      <sz val="11"/>
      <color rgb="FF3F3F76"/>
      <name val="Calibri"/>
      <family val="2"/>
    </font>
    <font>
      <sz val="10"/>
      <color rgb="FFFA7D00"/>
      <name val="Helvetica"/>
      <family val="2"/>
    </font>
    <font>
      <sz val="11"/>
      <color rgb="FFFA7D00"/>
      <name val="Calibri"/>
      <family val="2"/>
    </font>
    <font>
      <sz val="10"/>
      <color rgb="FF9C6500"/>
      <name val="Helvetica"/>
      <family val="2"/>
    </font>
    <font>
      <sz val="11"/>
      <color rgb="FF9C6500"/>
      <name val="Calibri"/>
      <family val="2"/>
    </font>
    <font>
      <b/>
      <sz val="10"/>
      <color rgb="FF3F3F3F"/>
      <name val="Helvetic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Helvetica"/>
      <family val="2"/>
    </font>
    <font>
      <b/>
      <sz val="11"/>
      <color theme="1"/>
      <name val="Calibri"/>
      <family val="2"/>
    </font>
    <font>
      <sz val="10"/>
      <color rgb="FFFF0000"/>
      <name val="Helvetica"/>
      <family val="2"/>
    </font>
    <font>
      <sz val="11"/>
      <color rgb="FFFF0000"/>
      <name val="Calibri"/>
      <family val="2"/>
    </font>
    <font>
      <sz val="11"/>
      <color theme="1"/>
      <name val="Helvetica"/>
      <family val="2"/>
    </font>
    <font>
      <sz val="11"/>
      <color rgb="FF9C0006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1" fillId="2" borderId="0" applyNumberFormat="0" applyBorder="0" applyAlignment="0" applyProtection="0"/>
    <xf numFmtId="0" fontId="0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4" borderId="0" applyNumberFormat="0" applyBorder="0" applyAlignment="0" applyProtection="0"/>
    <xf numFmtId="0" fontId="41" fillId="4" borderId="0" applyNumberFormat="0" applyBorder="0" applyAlignment="0" applyProtection="0"/>
    <xf numFmtId="0" fontId="0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6" borderId="0" applyNumberFormat="0" applyBorder="0" applyAlignment="0" applyProtection="0"/>
    <xf numFmtId="0" fontId="41" fillId="6" borderId="0" applyNumberFormat="0" applyBorder="0" applyAlignment="0" applyProtection="0"/>
    <xf numFmtId="0" fontId="0" fillId="7" borderId="0" applyNumberFormat="0" applyBorder="0" applyAlignment="0" applyProtection="0"/>
    <xf numFmtId="0" fontId="41" fillId="7" borderId="0" applyNumberFormat="0" applyBorder="0" applyAlignment="0" applyProtection="0"/>
    <xf numFmtId="0" fontId="0" fillId="8" borderId="0" applyNumberFormat="0" applyBorder="0" applyAlignment="0" applyProtection="0"/>
    <xf numFmtId="0" fontId="41" fillId="8" borderId="0" applyNumberFormat="0" applyBorder="0" applyAlignment="0" applyProtection="0"/>
    <xf numFmtId="0" fontId="0" fillId="9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68" fillId="27" borderId="8" applyNumberForma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wrapText="1"/>
    </xf>
    <xf numFmtId="0" fontId="41" fillId="0" borderId="0" xfId="0" applyFont="1" applyAlignment="1">
      <alignment/>
    </xf>
    <xf numFmtId="0" fontId="7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4" fontId="41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0" fontId="72" fillId="2" borderId="0" xfId="0" applyFont="1" applyFill="1" applyAlignment="1">
      <alignment/>
    </xf>
    <xf numFmtId="0" fontId="72" fillId="2" borderId="10" xfId="0" applyFont="1" applyFill="1" applyBorder="1" applyAlignment="1">
      <alignment/>
    </xf>
    <xf numFmtId="0" fontId="72" fillId="2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72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94" applyFont="1" applyBorder="1">
      <alignment/>
      <protection/>
    </xf>
    <xf numFmtId="0" fontId="41" fillId="2" borderId="0" xfId="0" applyFont="1" applyFill="1" applyAlignment="1">
      <alignment horizontal="center"/>
    </xf>
    <xf numFmtId="0" fontId="41" fillId="2" borderId="0" xfId="0" applyFont="1" applyFill="1" applyAlignment="1">
      <alignment/>
    </xf>
    <xf numFmtId="0" fontId="71" fillId="2" borderId="10" xfId="0" applyFont="1" applyFill="1" applyBorder="1" applyAlignment="1">
      <alignment horizontal="center"/>
    </xf>
    <xf numFmtId="0" fontId="72" fillId="0" borderId="0" xfId="93" applyFont="1" applyFill="1" applyBorder="1" applyAlignment="1">
      <alignment horizontal="center"/>
      <protection/>
    </xf>
    <xf numFmtId="164" fontId="0" fillId="0" borderId="11" xfId="0" applyNumberFormat="1" applyBorder="1" applyAlignment="1">
      <alignment horizontal="center"/>
    </xf>
    <xf numFmtId="2" fontId="41" fillId="0" borderId="11" xfId="0" applyNumberFormat="1" applyFont="1" applyBorder="1" applyAlignment="1">
      <alignment horizontal="center"/>
    </xf>
    <xf numFmtId="164" fontId="41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41" fillId="2" borderId="0" xfId="0" applyNumberFormat="1" applyFont="1" applyFill="1" applyAlignment="1">
      <alignment horizontal="center"/>
    </xf>
    <xf numFmtId="0" fontId="72" fillId="0" borderId="0" xfId="93" applyFont="1" applyBorder="1" applyAlignment="1">
      <alignment horizontal="center"/>
      <protection/>
    </xf>
    <xf numFmtId="0" fontId="72" fillId="0" borderId="0" xfId="94" applyFont="1" applyBorder="1" applyAlignment="1">
      <alignment horizontal="center"/>
      <protection/>
    </xf>
    <xf numFmtId="165" fontId="0" fillId="0" borderId="0" xfId="0" applyNumberFormat="1" applyAlignment="1">
      <alignment horizontal="center"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72" fillId="0" borderId="0" xfId="0" applyFont="1" applyBorder="1" applyAlignment="1">
      <alignment horizontal="left"/>
    </xf>
    <xf numFmtId="0" fontId="72" fillId="0" borderId="0" xfId="93" applyFont="1" applyBorder="1" applyAlignment="1">
      <alignment horizontal="left"/>
      <protection/>
    </xf>
    <xf numFmtId="0" fontId="72" fillId="33" borderId="0" xfId="0" applyFont="1" applyFill="1" applyBorder="1" applyAlignment="1">
      <alignment/>
    </xf>
    <xf numFmtId="0" fontId="72" fillId="0" borderId="0" xfId="0" applyFont="1" applyBorder="1" applyAlignment="1">
      <alignment wrapText="1"/>
    </xf>
    <xf numFmtId="0" fontId="72" fillId="2" borderId="0" xfId="0" applyFont="1" applyFill="1" applyBorder="1" applyAlignment="1">
      <alignment/>
    </xf>
    <xf numFmtId="0" fontId="72" fillId="2" borderId="0" xfId="0" applyFont="1" applyFill="1" applyBorder="1" applyAlignment="1">
      <alignment wrapText="1"/>
    </xf>
    <xf numFmtId="0" fontId="72" fillId="2" borderId="0" xfId="0" applyFont="1" applyFill="1" applyBorder="1" applyAlignment="1">
      <alignment horizontal="center"/>
    </xf>
    <xf numFmtId="0" fontId="72" fillId="33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165" fontId="41" fillId="0" borderId="0" xfId="0" applyNumberFormat="1" applyFont="1" applyBorder="1" applyAlignment="1">
      <alignment horizontal="center"/>
    </xf>
    <xf numFmtId="164" fontId="41" fillId="0" borderId="0" xfId="0" applyNumberFormat="1" applyFont="1" applyBorder="1" applyAlignment="1">
      <alignment horizontal="center"/>
    </xf>
    <xf numFmtId="0" fontId="75" fillId="2" borderId="0" xfId="0" applyFont="1" applyFill="1" applyAlignment="1">
      <alignment horizontal="center"/>
    </xf>
    <xf numFmtId="0" fontId="41" fillId="2" borderId="0" xfId="0" applyFont="1" applyFill="1" applyBorder="1" applyAlignment="1">
      <alignment horizontal="center"/>
    </xf>
    <xf numFmtId="1" fontId="41" fillId="0" borderId="0" xfId="0" applyNumberFormat="1" applyFont="1" applyBorder="1" applyAlignment="1">
      <alignment horizontal="center"/>
    </xf>
    <xf numFmtId="0" fontId="41" fillId="2" borderId="0" xfId="0" applyFont="1" applyFill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76" fillId="2" borderId="0" xfId="63" applyFont="1" applyFill="1" applyBorder="1" applyAlignment="1">
      <alignment horizontal="center"/>
    </xf>
    <xf numFmtId="164" fontId="41" fillId="2" borderId="0" xfId="0" applyNumberFormat="1" applyFont="1" applyFill="1" applyBorder="1" applyAlignment="1">
      <alignment horizontal="center"/>
    </xf>
    <xf numFmtId="164" fontId="76" fillId="2" borderId="0" xfId="63" applyNumberFormat="1" applyFont="1" applyFill="1" applyBorder="1" applyAlignment="1">
      <alignment horizontal="center"/>
    </xf>
    <xf numFmtId="0" fontId="72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72" fillId="0" borderId="0" xfId="94" applyFont="1" applyBorder="1" applyAlignment="1">
      <alignment horizontal="left"/>
      <protection/>
    </xf>
    <xf numFmtId="0" fontId="72" fillId="0" borderId="0" xfId="94" applyFont="1" applyBorder="1" applyAlignment="1">
      <alignment horizontal="left" wrapText="1"/>
      <protection/>
    </xf>
    <xf numFmtId="0" fontId="38" fillId="0" borderId="0" xfId="0" applyFont="1" applyFill="1" applyBorder="1" applyAlignment="1">
      <alignment horizontal="left" textRotation="90"/>
    </xf>
    <xf numFmtId="0" fontId="38" fillId="0" borderId="0" xfId="0" applyFont="1" applyFill="1" applyBorder="1" applyAlignment="1">
      <alignment horizontal="left" textRotation="45"/>
    </xf>
    <xf numFmtId="0" fontId="38" fillId="8" borderId="0" xfId="0" applyFont="1" applyFill="1" applyBorder="1" applyAlignment="1">
      <alignment/>
    </xf>
    <xf numFmtId="0" fontId="38" fillId="8" borderId="0" xfId="0" applyFont="1" applyFill="1" applyBorder="1" applyAlignment="1">
      <alignment horizontal="left"/>
    </xf>
    <xf numFmtId="0" fontId="38" fillId="8" borderId="0" xfId="0" applyFont="1" applyFill="1" applyBorder="1" applyAlignment="1">
      <alignment horizontal="center"/>
    </xf>
    <xf numFmtId="0" fontId="39" fillId="8" borderId="0" xfId="0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38" fillId="2" borderId="0" xfId="0" applyFont="1" applyFill="1" applyBorder="1" applyAlignment="1">
      <alignment horizontal="left"/>
    </xf>
    <xf numFmtId="0" fontId="38" fillId="2" borderId="0" xfId="0" applyFont="1" applyFill="1" applyBorder="1" applyAlignment="1">
      <alignment horizontal="center"/>
    </xf>
    <xf numFmtId="0" fontId="39" fillId="2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1" fillId="0" borderId="0" xfId="94" applyFont="1" applyBorder="1" applyAlignment="1">
      <alignment horizontal="left"/>
      <protection/>
    </xf>
    <xf numFmtId="0" fontId="39" fillId="0" borderId="0" xfId="0" applyFont="1" applyFill="1" applyBorder="1" applyAlignment="1">
      <alignment horizontal="center"/>
    </xf>
    <xf numFmtId="0" fontId="39" fillId="0" borderId="0" xfId="93" applyFont="1" applyFill="1" applyBorder="1" applyAlignment="1">
      <alignment horizontal="center"/>
      <protection/>
    </xf>
    <xf numFmtId="0" fontId="39" fillId="0" borderId="0" xfId="64" applyFont="1" applyFill="1" applyBorder="1" applyAlignment="1">
      <alignment horizontal="center"/>
    </xf>
    <xf numFmtId="165" fontId="39" fillId="0" borderId="0" xfId="0" applyNumberFormat="1" applyFont="1" applyFill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170" fontId="38" fillId="0" borderId="0" xfId="0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164" fontId="40" fillId="0" borderId="0" xfId="0" applyNumberFormat="1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165" fontId="40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165" fontId="41" fillId="0" borderId="0" xfId="0" applyNumberFormat="1" applyFont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sintranet/Sections/FDA/Documents/Food%20Analytical%20Programs/2014%20-%20Key%20Foods%20Program/Phase%204%20(Alcohols)/Project%20Report/Appendix%204%20key%20foods%20program%20-%20phase%204%20data%20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as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85"/>
  <sheetViews>
    <sheetView zoomScalePageLayoutView="0" workbookViewId="0" topLeftCell="A1">
      <pane xSplit="2" ySplit="2" topLeftCell="AD3" activePane="bottomRight" state="frozen"/>
      <selection pane="topLeft" activeCell="A1" sqref="A1"/>
      <selection pane="topRight" activeCell="A1" sqref="A1"/>
      <selection pane="bottomLeft" activeCell="A2" sqref="A2"/>
      <selection pane="bottomRight" activeCell="AK23" sqref="AK23"/>
    </sheetView>
  </sheetViews>
  <sheetFormatPr defaultColWidth="9.140625" defaultRowHeight="12.75"/>
  <cols>
    <col min="1" max="1" width="46.421875" style="3" customWidth="1"/>
    <col min="2" max="2" width="15.28125" style="3" customWidth="1"/>
    <col min="3" max="3" width="16.7109375" style="5" customWidth="1"/>
    <col min="4" max="12" width="11.57421875" style="5" customWidth="1"/>
    <col min="13" max="13" width="14.28125" style="5" customWidth="1"/>
    <col min="14" max="14" width="13.28125" style="5" customWidth="1"/>
    <col min="15" max="15" width="11.57421875" style="5" customWidth="1"/>
    <col min="16" max="16" width="19.8515625" style="5" customWidth="1"/>
    <col min="17" max="17" width="17.8515625" style="5" customWidth="1"/>
    <col min="18" max="18" width="17.57421875" style="5" customWidth="1"/>
    <col min="19" max="19" width="14.57421875" style="5" customWidth="1"/>
    <col min="20" max="20" width="21.28125" style="5" customWidth="1"/>
    <col min="21" max="22" width="23.00390625" style="5" customWidth="1"/>
    <col min="23" max="25" width="20.7109375" style="5" customWidth="1"/>
    <col min="26" max="26" width="19.57421875" style="5" customWidth="1"/>
    <col min="27" max="27" width="21.57421875" style="5" customWidth="1"/>
    <col min="28" max="28" width="19.57421875" style="5" customWidth="1"/>
    <col min="29" max="29" width="20.00390625" style="5" customWidth="1"/>
    <col min="30" max="30" width="23.7109375" style="5" customWidth="1"/>
    <col min="31" max="31" width="13.7109375" style="5" customWidth="1"/>
    <col min="32" max="32" width="11.421875" style="5" customWidth="1"/>
    <col min="33" max="33" width="12.28125" style="5" customWidth="1"/>
    <col min="34" max="34" width="11.8515625" style="5" customWidth="1"/>
    <col min="35" max="35" width="10.8515625" style="5" customWidth="1"/>
    <col min="36" max="36" width="16.00390625" style="5" customWidth="1"/>
    <col min="37" max="37" width="16.57421875" style="5" customWidth="1"/>
    <col min="38" max="38" width="15.421875" style="5" customWidth="1"/>
    <col min="39" max="39" width="12.7109375" style="5" customWidth="1"/>
    <col min="40" max="40" width="9.140625" style="5" customWidth="1"/>
    <col min="41" max="41" width="14.28125" style="5" customWidth="1"/>
    <col min="42" max="42" width="17.57421875" style="5" customWidth="1"/>
    <col min="43" max="43" width="16.28125" style="5" customWidth="1"/>
    <col min="44" max="44" width="9.140625" style="5" customWidth="1"/>
    <col min="45" max="45" width="15.57421875" style="5" customWidth="1"/>
    <col min="46" max="46" width="14.8515625" style="5" customWidth="1"/>
    <col min="47" max="47" width="12.7109375" style="5" customWidth="1"/>
    <col min="48" max="48" width="15.57421875" style="5" customWidth="1"/>
    <col min="49" max="49" width="15.28125" style="5" customWidth="1"/>
    <col min="50" max="50" width="16.8515625" style="5" customWidth="1"/>
    <col min="51" max="51" width="19.8515625" style="5" customWidth="1"/>
    <col min="52" max="52" width="16.28125" style="5" customWidth="1"/>
    <col min="53" max="54" width="17.140625" style="5" customWidth="1"/>
    <col min="55" max="55" width="16.00390625" style="5" customWidth="1"/>
    <col min="56" max="56" width="22.28125" style="5" customWidth="1"/>
    <col min="57" max="57" width="16.421875" style="5" customWidth="1"/>
    <col min="58" max="77" width="9.140625" style="5" customWidth="1"/>
    <col min="78" max="90" width="13.57421875" style="5" customWidth="1"/>
    <col min="91" max="91" width="15.28125" style="5" customWidth="1"/>
    <col min="92" max="99" width="17.57421875" style="5" customWidth="1"/>
    <col min="100" max="100" width="9.140625" style="5" customWidth="1"/>
    <col min="101" max="16384" width="9.140625" style="3" customWidth="1"/>
  </cols>
  <sheetData>
    <row r="1" spans="1:100" s="1" customFormat="1" ht="15">
      <c r="A1" s="34" t="s">
        <v>149</v>
      </c>
      <c r="C1" s="12" t="s">
        <v>11</v>
      </c>
      <c r="D1" s="12" t="s">
        <v>12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2" t="s">
        <v>0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3" t="s">
        <v>1</v>
      </c>
      <c r="AF1" s="12" t="s">
        <v>46</v>
      </c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17" t="s">
        <v>58</v>
      </c>
      <c r="AX1" s="32" t="s">
        <v>116</v>
      </c>
      <c r="AY1" s="32"/>
      <c r="AZ1" s="32"/>
      <c r="BA1" s="32"/>
      <c r="BB1" s="32"/>
      <c r="BC1" s="32"/>
      <c r="BD1" s="32"/>
      <c r="BE1" s="32"/>
      <c r="BF1" s="16" t="s">
        <v>59</v>
      </c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31" t="s">
        <v>102</v>
      </c>
      <c r="BT1" s="4"/>
      <c r="BU1" s="4"/>
      <c r="BV1" s="4"/>
      <c r="BW1" s="4"/>
      <c r="BX1" s="4"/>
      <c r="BY1" s="4"/>
      <c r="BZ1" s="31" t="s">
        <v>103</v>
      </c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31" t="s">
        <v>104</v>
      </c>
      <c r="CM1" s="4"/>
      <c r="CN1" s="4"/>
      <c r="CO1" s="4"/>
      <c r="CP1" s="4"/>
      <c r="CQ1" s="4"/>
      <c r="CR1" s="4"/>
      <c r="CS1" s="4"/>
      <c r="CT1" s="4"/>
      <c r="CU1" s="4"/>
      <c r="CV1" s="4"/>
    </row>
    <row r="2" spans="1:100" s="1" customFormat="1" ht="45">
      <c r="A2" s="1" t="s">
        <v>9</v>
      </c>
      <c r="B2" s="2" t="s">
        <v>10</v>
      </c>
      <c r="C2" s="4" t="s">
        <v>13</v>
      </c>
      <c r="D2" s="4" t="s">
        <v>22</v>
      </c>
      <c r="E2" s="4" t="s">
        <v>23</v>
      </c>
      <c r="F2" s="4" t="s">
        <v>24</v>
      </c>
      <c r="G2" s="4" t="s">
        <v>26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20</v>
      </c>
      <c r="M2" s="4" t="s">
        <v>21</v>
      </c>
      <c r="N2" s="4" t="s">
        <v>27</v>
      </c>
      <c r="O2" s="4" t="s">
        <v>25</v>
      </c>
      <c r="P2" s="4" t="s">
        <v>29</v>
      </c>
      <c r="Q2" s="4" t="s">
        <v>30</v>
      </c>
      <c r="R2" s="4" t="s">
        <v>31</v>
      </c>
      <c r="S2" s="4" t="s">
        <v>36</v>
      </c>
      <c r="T2" s="4" t="s">
        <v>37</v>
      </c>
      <c r="U2" s="4" t="s">
        <v>38</v>
      </c>
      <c r="V2" s="4" t="s">
        <v>43</v>
      </c>
      <c r="W2" s="4" t="s">
        <v>39</v>
      </c>
      <c r="X2" s="4" t="s">
        <v>40</v>
      </c>
      <c r="Y2" s="16" t="s">
        <v>41</v>
      </c>
      <c r="Z2" s="4" t="s">
        <v>28</v>
      </c>
      <c r="AA2" s="4" t="s">
        <v>32</v>
      </c>
      <c r="AB2" s="4" t="s">
        <v>33</v>
      </c>
      <c r="AC2" s="4" t="s">
        <v>34</v>
      </c>
      <c r="AD2" s="4" t="s">
        <v>35</v>
      </c>
      <c r="AE2" s="4" t="s">
        <v>47</v>
      </c>
      <c r="AF2" s="16" t="s">
        <v>117</v>
      </c>
      <c r="AG2" s="16" t="s">
        <v>48</v>
      </c>
      <c r="AH2" s="16" t="s">
        <v>49</v>
      </c>
      <c r="AI2" s="16" t="s">
        <v>124</v>
      </c>
      <c r="AJ2" s="16" t="s">
        <v>50</v>
      </c>
      <c r="AK2" s="16" t="s">
        <v>51</v>
      </c>
      <c r="AL2" s="16" t="s">
        <v>118</v>
      </c>
      <c r="AM2" s="16" t="s">
        <v>52</v>
      </c>
      <c r="AN2" s="16" t="s">
        <v>53</v>
      </c>
      <c r="AO2" s="16" t="s">
        <v>54</v>
      </c>
      <c r="AP2" s="16" t="s">
        <v>119</v>
      </c>
      <c r="AQ2" s="16" t="s">
        <v>55</v>
      </c>
      <c r="AR2" s="16" t="s">
        <v>56</v>
      </c>
      <c r="AS2" s="16" t="s">
        <v>120</v>
      </c>
      <c r="AT2" s="16" t="s">
        <v>121</v>
      </c>
      <c r="AU2" s="16" t="s">
        <v>122</v>
      </c>
      <c r="AV2" s="16" t="s">
        <v>123</v>
      </c>
      <c r="AW2" s="4" t="s">
        <v>44</v>
      </c>
      <c r="AX2" s="16" t="s">
        <v>105</v>
      </c>
      <c r="AY2" s="16" t="s">
        <v>107</v>
      </c>
      <c r="AZ2" s="16" t="s">
        <v>106</v>
      </c>
      <c r="BA2" s="16" t="s">
        <v>108</v>
      </c>
      <c r="BB2" s="16" t="s">
        <v>109</v>
      </c>
      <c r="BC2" s="16" t="s">
        <v>110</v>
      </c>
      <c r="BD2" s="16" t="s">
        <v>111</v>
      </c>
      <c r="BE2" s="16" t="s">
        <v>112</v>
      </c>
      <c r="BF2" s="21" t="s">
        <v>60</v>
      </c>
      <c r="BG2" s="21" t="s">
        <v>61</v>
      </c>
      <c r="BH2" s="21" t="s">
        <v>62</v>
      </c>
      <c r="BI2" s="21" t="s">
        <v>63</v>
      </c>
      <c r="BJ2" s="21" t="s">
        <v>64</v>
      </c>
      <c r="BK2" s="21" t="s">
        <v>65</v>
      </c>
      <c r="BL2" s="21" t="s">
        <v>66</v>
      </c>
      <c r="BM2" s="21" t="s">
        <v>67</v>
      </c>
      <c r="BN2" s="21" t="s">
        <v>68</v>
      </c>
      <c r="BO2" s="21" t="s">
        <v>69</v>
      </c>
      <c r="BP2" s="21" t="s">
        <v>70</v>
      </c>
      <c r="BQ2" s="21" t="s">
        <v>71</v>
      </c>
      <c r="BR2" s="21" t="s">
        <v>72</v>
      </c>
      <c r="BS2" s="21" t="s">
        <v>73</v>
      </c>
      <c r="BT2" s="21" t="s">
        <v>74</v>
      </c>
      <c r="BU2" s="21" t="s">
        <v>75</v>
      </c>
      <c r="BV2" s="21" t="s">
        <v>76</v>
      </c>
      <c r="BW2" s="21" t="s">
        <v>77</v>
      </c>
      <c r="BX2" s="21" t="s">
        <v>78</v>
      </c>
      <c r="BY2" s="21" t="s">
        <v>79</v>
      </c>
      <c r="BZ2" s="21" t="s">
        <v>80</v>
      </c>
      <c r="CA2" s="21" t="s">
        <v>81</v>
      </c>
      <c r="CB2" s="21" t="s">
        <v>82</v>
      </c>
      <c r="CC2" s="21" t="s">
        <v>83</v>
      </c>
      <c r="CD2" s="21" t="s">
        <v>84</v>
      </c>
      <c r="CE2" s="21" t="s">
        <v>85</v>
      </c>
      <c r="CF2" s="21" t="s">
        <v>86</v>
      </c>
      <c r="CG2" s="21" t="s">
        <v>87</v>
      </c>
      <c r="CH2" s="21" t="s">
        <v>88</v>
      </c>
      <c r="CI2" s="21" t="s">
        <v>89</v>
      </c>
      <c r="CJ2" s="21" t="s">
        <v>90</v>
      </c>
      <c r="CK2" s="21" t="s">
        <v>91</v>
      </c>
      <c r="CL2" s="21" t="s">
        <v>92</v>
      </c>
      <c r="CM2" s="21" t="s">
        <v>93</v>
      </c>
      <c r="CN2" s="21" t="s">
        <v>94</v>
      </c>
      <c r="CO2" s="21" t="s">
        <v>95</v>
      </c>
      <c r="CP2" s="21" t="s">
        <v>96</v>
      </c>
      <c r="CQ2" s="21" t="s">
        <v>97</v>
      </c>
      <c r="CR2" s="21" t="s">
        <v>98</v>
      </c>
      <c r="CS2" s="21" t="s">
        <v>99</v>
      </c>
      <c r="CT2" s="21" t="s">
        <v>100</v>
      </c>
      <c r="CU2" s="21" t="s">
        <v>101</v>
      </c>
      <c r="CV2" s="21"/>
    </row>
    <row r="3" spans="1:100" s="1" customFormat="1" ht="15">
      <c r="A3" s="9" t="s">
        <v>127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2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4"/>
    </row>
    <row r="4" spans="1:58" ht="15">
      <c r="A4" s="3" t="s">
        <v>14</v>
      </c>
      <c r="B4" s="3" t="s">
        <v>2</v>
      </c>
      <c r="D4" s="5">
        <v>84</v>
      </c>
      <c r="E4" s="5" t="s">
        <v>3</v>
      </c>
      <c r="F4" s="5">
        <v>0.2</v>
      </c>
      <c r="G4" s="15">
        <v>0.17</v>
      </c>
      <c r="H4" s="5">
        <v>6.6</v>
      </c>
      <c r="I4" s="5">
        <v>1.8</v>
      </c>
      <c r="J4" s="5">
        <v>4</v>
      </c>
      <c r="K4" s="5" t="s">
        <v>3</v>
      </c>
      <c r="L4" s="5" t="s">
        <v>3</v>
      </c>
      <c r="M4" s="5">
        <v>12</v>
      </c>
      <c r="N4" s="14">
        <v>3</v>
      </c>
      <c r="O4" s="5">
        <v>0.4</v>
      </c>
      <c r="P4" s="5" t="s">
        <v>4</v>
      </c>
      <c r="Q4" s="5">
        <v>27</v>
      </c>
      <c r="R4" s="5" t="s">
        <v>4</v>
      </c>
      <c r="S4" s="5" t="s">
        <v>6</v>
      </c>
      <c r="T4" s="5" t="s">
        <v>6</v>
      </c>
      <c r="U4" s="5" t="s">
        <v>7</v>
      </c>
      <c r="V4" s="5" t="s">
        <v>45</v>
      </c>
      <c r="W4" s="5">
        <v>0.03</v>
      </c>
      <c r="Y4" s="5">
        <v>68</v>
      </c>
      <c r="Z4" s="5">
        <v>8.7</v>
      </c>
      <c r="AA4" s="5" t="s">
        <v>5</v>
      </c>
      <c r="AB4" s="5" t="s">
        <v>5</v>
      </c>
      <c r="AC4" s="5" t="s">
        <v>5</v>
      </c>
      <c r="AD4" s="5" t="s">
        <v>5</v>
      </c>
      <c r="AE4" s="16"/>
      <c r="AF4" s="15" t="s">
        <v>7</v>
      </c>
      <c r="AG4" s="15">
        <f>43/10</f>
        <v>4.3</v>
      </c>
      <c r="AH4" s="15">
        <f>0.31/10</f>
        <v>0.031</v>
      </c>
      <c r="AI4" s="15" t="s">
        <v>7</v>
      </c>
      <c r="AJ4" s="15">
        <f>0.43/10</f>
        <v>0.043</v>
      </c>
      <c r="AK4" s="15">
        <f>95/10</f>
        <v>9.5</v>
      </c>
      <c r="AL4" s="15" t="s">
        <v>7</v>
      </c>
      <c r="AM4" s="15">
        <f>13/10</f>
        <v>1.3</v>
      </c>
      <c r="AN4" s="15">
        <f>0.22/10</f>
        <v>0.022</v>
      </c>
      <c r="AO4" s="15">
        <f>1200/10</f>
        <v>120</v>
      </c>
      <c r="AP4" s="15" t="s">
        <v>7</v>
      </c>
      <c r="AQ4" s="15">
        <f>50/10</f>
        <v>5</v>
      </c>
      <c r="AR4" s="15" t="s">
        <v>3</v>
      </c>
      <c r="AS4" s="15" t="s">
        <v>7</v>
      </c>
      <c r="AT4" s="15" t="s">
        <v>7</v>
      </c>
      <c r="AU4" s="15" t="s">
        <v>7</v>
      </c>
      <c r="AV4" s="15" t="s">
        <v>126</v>
      </c>
      <c r="AW4" s="5">
        <f>0.018*100</f>
        <v>1.7999999999999998</v>
      </c>
      <c r="BF4" s="16"/>
    </row>
    <row r="5" spans="1:57" ht="15">
      <c r="A5" s="3" t="s">
        <v>136</v>
      </c>
      <c r="B5" s="3" t="s">
        <v>2</v>
      </c>
      <c r="D5" s="5">
        <v>86</v>
      </c>
      <c r="E5" s="5" t="s">
        <v>3</v>
      </c>
      <c r="F5" s="5">
        <v>0.9</v>
      </c>
      <c r="H5" s="5">
        <v>2.6</v>
      </c>
      <c r="I5" s="5">
        <v>2.2</v>
      </c>
      <c r="J5" s="6">
        <v>5</v>
      </c>
      <c r="K5" s="5" t="s">
        <v>3</v>
      </c>
      <c r="L5" s="5" t="s">
        <v>3</v>
      </c>
      <c r="M5" s="5">
        <v>9.8</v>
      </c>
      <c r="N5" s="15">
        <v>1.6</v>
      </c>
      <c r="O5" s="5">
        <v>0.4</v>
      </c>
      <c r="P5" s="5">
        <v>11</v>
      </c>
      <c r="Q5" s="5">
        <v>330</v>
      </c>
      <c r="R5" s="5">
        <v>120</v>
      </c>
      <c r="S5" s="5">
        <v>0.03</v>
      </c>
      <c r="T5" s="5">
        <v>0.03</v>
      </c>
      <c r="U5" s="5" t="s">
        <v>7</v>
      </c>
      <c r="V5" s="5">
        <v>0.096</v>
      </c>
      <c r="W5" s="5">
        <v>0.07</v>
      </c>
      <c r="Y5" s="5">
        <v>52.1</v>
      </c>
      <c r="AA5" s="7">
        <v>0.1</v>
      </c>
      <c r="AB5" s="5" t="s">
        <v>5</v>
      </c>
      <c r="AC5" s="5" t="s">
        <v>5</v>
      </c>
      <c r="AD5" s="5" t="s">
        <v>5</v>
      </c>
      <c r="AF5" s="15" t="s">
        <v>7</v>
      </c>
      <c r="AG5" s="15">
        <f>290/10</f>
        <v>29</v>
      </c>
      <c r="AH5" s="15">
        <f>0.42/10</f>
        <v>0.041999999999999996</v>
      </c>
      <c r="AI5" s="15" t="s">
        <v>7</v>
      </c>
      <c r="AJ5" s="11">
        <f>0.6/10</f>
        <v>0.06</v>
      </c>
      <c r="AK5" s="15">
        <f>190/10</f>
        <v>19</v>
      </c>
      <c r="AL5" s="15" t="s">
        <v>7</v>
      </c>
      <c r="AM5" s="15">
        <f>27/10</f>
        <v>2.7</v>
      </c>
      <c r="AN5" s="15">
        <f>0.62/10</f>
        <v>0.062</v>
      </c>
      <c r="AO5" s="15">
        <f>1800/10</f>
        <v>180</v>
      </c>
      <c r="AP5" s="15" t="s">
        <v>7</v>
      </c>
      <c r="AQ5" s="15">
        <f>130/10</f>
        <v>13</v>
      </c>
      <c r="AR5" s="15" t="s">
        <v>3</v>
      </c>
      <c r="AS5" s="15">
        <f>0.035/10*1000</f>
        <v>3.5000000000000004</v>
      </c>
      <c r="AT5" s="15" t="s">
        <v>7</v>
      </c>
      <c r="AU5" s="15" t="s">
        <v>7</v>
      </c>
      <c r="AV5" s="15" t="s">
        <v>126</v>
      </c>
      <c r="AW5" s="15">
        <f>0.07*100</f>
        <v>7.000000000000001</v>
      </c>
      <c r="AX5" s="15"/>
      <c r="AY5" s="15"/>
      <c r="AZ5" s="15"/>
      <c r="BA5" s="15"/>
      <c r="BB5" s="15"/>
      <c r="BC5" s="15"/>
      <c r="BD5" s="15"/>
      <c r="BE5" s="15"/>
    </row>
    <row r="6" spans="1:26" ht="15">
      <c r="A6" s="3" t="s">
        <v>136</v>
      </c>
      <c r="B6" s="3" t="s">
        <v>128</v>
      </c>
      <c r="Z6" s="5">
        <v>22</v>
      </c>
    </row>
    <row r="7" spans="1:26" ht="15">
      <c r="A7" s="3" t="s">
        <v>136</v>
      </c>
      <c r="B7" s="3" t="s">
        <v>129</v>
      </c>
      <c r="Z7" s="5">
        <v>25</v>
      </c>
    </row>
    <row r="8" spans="1:26" ht="15">
      <c r="A8" s="3" t="s">
        <v>136</v>
      </c>
      <c r="B8" s="3" t="s">
        <v>130</v>
      </c>
      <c r="Z8" s="5">
        <v>34</v>
      </c>
    </row>
    <row r="9" spans="1:26" ht="15">
      <c r="A9" s="3" t="s">
        <v>136</v>
      </c>
      <c r="B9" s="3" t="s">
        <v>131</v>
      </c>
      <c r="Z9" s="5">
        <v>25</v>
      </c>
    </row>
    <row r="10" spans="1:26" ht="15">
      <c r="A10" s="3" t="s">
        <v>136</v>
      </c>
      <c r="B10" s="3" t="s">
        <v>132</v>
      </c>
      <c r="Z10" s="5">
        <v>34</v>
      </c>
    </row>
    <row r="11" spans="1:26" ht="15">
      <c r="A11" s="3" t="s">
        <v>136</v>
      </c>
      <c r="B11" s="3" t="s">
        <v>133</v>
      </c>
      <c r="Z11" s="5">
        <v>24</v>
      </c>
    </row>
    <row r="12" spans="1:26" ht="15">
      <c r="A12" s="3" t="s">
        <v>136</v>
      </c>
      <c r="B12" s="3" t="s">
        <v>134</v>
      </c>
      <c r="Z12" s="5">
        <v>39</v>
      </c>
    </row>
    <row r="13" spans="1:26" ht="15">
      <c r="A13" s="3" t="s">
        <v>136</v>
      </c>
      <c r="B13" s="3" t="s">
        <v>135</v>
      </c>
      <c r="Z13" s="5">
        <v>23</v>
      </c>
    </row>
    <row r="14" spans="1:57" ht="15">
      <c r="A14" s="3" t="s">
        <v>137</v>
      </c>
      <c r="B14" s="3" t="s">
        <v>2</v>
      </c>
      <c r="D14" s="5">
        <v>86.4</v>
      </c>
      <c r="E14" s="5" t="s">
        <v>3</v>
      </c>
      <c r="F14" s="6">
        <v>1</v>
      </c>
      <c r="G14" s="6"/>
      <c r="H14" s="5">
        <v>2.1</v>
      </c>
      <c r="I14" s="5">
        <v>1.9</v>
      </c>
      <c r="J14" s="5">
        <v>4.2</v>
      </c>
      <c r="K14" s="5" t="s">
        <v>3</v>
      </c>
      <c r="L14" s="5" t="s">
        <v>3</v>
      </c>
      <c r="M14" s="5">
        <v>8.2</v>
      </c>
      <c r="N14" s="15">
        <v>2.4</v>
      </c>
      <c r="O14" s="5">
        <v>0.5</v>
      </c>
      <c r="P14" s="6">
        <v>6</v>
      </c>
      <c r="Q14" s="5">
        <v>25</v>
      </c>
      <c r="R14" s="5">
        <v>17</v>
      </c>
      <c r="S14" s="5">
        <v>0.07</v>
      </c>
      <c r="T14" s="5">
        <v>0.02</v>
      </c>
      <c r="U14" s="5" t="s">
        <v>7</v>
      </c>
      <c r="V14" s="5">
        <v>0.1</v>
      </c>
      <c r="W14" s="5">
        <v>0.07</v>
      </c>
      <c r="Y14" s="5">
        <v>82.1</v>
      </c>
      <c r="AA14" s="7">
        <v>0.1</v>
      </c>
      <c r="AB14" s="5" t="s">
        <v>5</v>
      </c>
      <c r="AC14" s="5" t="s">
        <v>5</v>
      </c>
      <c r="AD14" s="5" t="s">
        <v>5</v>
      </c>
      <c r="AF14" s="15" t="s">
        <v>7</v>
      </c>
      <c r="AG14" s="15">
        <f>230/10</f>
        <v>23</v>
      </c>
      <c r="AH14" s="15">
        <f>0.36/10</f>
        <v>0.036</v>
      </c>
      <c r="AI14" s="15" t="s">
        <v>7</v>
      </c>
      <c r="AJ14" s="15">
        <f>0.24/10</f>
        <v>0.024</v>
      </c>
      <c r="AK14" s="15">
        <f>240/10</f>
        <v>24</v>
      </c>
      <c r="AL14" s="15" t="s">
        <v>7</v>
      </c>
      <c r="AM14" s="15" t="s">
        <v>7</v>
      </c>
      <c r="AN14" s="15">
        <f>0.69/10</f>
        <v>0.06899999999999999</v>
      </c>
      <c r="AO14" s="15">
        <f>1900/10</f>
        <v>190</v>
      </c>
      <c r="AP14" s="15" t="s">
        <v>7</v>
      </c>
      <c r="AQ14" s="15">
        <f>120/10</f>
        <v>12</v>
      </c>
      <c r="AR14" s="15" t="s">
        <v>3</v>
      </c>
      <c r="AS14" s="15">
        <f>0.025/10*1000</f>
        <v>2.5</v>
      </c>
      <c r="AT14" s="15" t="s">
        <v>7</v>
      </c>
      <c r="AU14" s="15" t="s">
        <v>7</v>
      </c>
      <c r="AV14" s="15" t="s">
        <v>126</v>
      </c>
      <c r="AW14" s="15">
        <f>0.079*100</f>
        <v>7.9</v>
      </c>
      <c r="AX14" s="15"/>
      <c r="AY14" s="15"/>
      <c r="AZ14" s="15"/>
      <c r="BA14" s="15"/>
      <c r="BB14" s="15"/>
      <c r="BC14" s="15"/>
      <c r="BD14" s="15"/>
      <c r="BE14" s="15"/>
    </row>
    <row r="15" spans="1:26" ht="15">
      <c r="A15" s="3" t="s">
        <v>137</v>
      </c>
      <c r="B15" s="3" t="s">
        <v>128</v>
      </c>
      <c r="Z15" s="5">
        <v>57</v>
      </c>
    </row>
    <row r="16" spans="1:26" ht="15">
      <c r="A16" s="3" t="s">
        <v>137</v>
      </c>
      <c r="B16" s="3" t="s">
        <v>129</v>
      </c>
      <c r="Z16" s="5">
        <v>55</v>
      </c>
    </row>
    <row r="17" spans="1:26" ht="15">
      <c r="A17" s="3" t="s">
        <v>137</v>
      </c>
      <c r="B17" s="3" t="s">
        <v>130</v>
      </c>
      <c r="Z17" s="5">
        <v>40</v>
      </c>
    </row>
    <row r="18" spans="1:26" ht="15">
      <c r="A18" s="3" t="s">
        <v>137</v>
      </c>
      <c r="B18" s="3" t="s">
        <v>131</v>
      </c>
      <c r="Z18" s="5">
        <v>53</v>
      </c>
    </row>
    <row r="19" spans="1:26" ht="15">
      <c r="A19" s="3" t="s">
        <v>137</v>
      </c>
      <c r="B19" s="3" t="s">
        <v>132</v>
      </c>
      <c r="Z19" s="5">
        <v>46</v>
      </c>
    </row>
    <row r="20" spans="1:26" ht="15">
      <c r="A20" s="3" t="s">
        <v>137</v>
      </c>
      <c r="B20" s="3" t="s">
        <v>133</v>
      </c>
      <c r="Z20" s="5">
        <v>48</v>
      </c>
    </row>
    <row r="21" spans="1:26" ht="15">
      <c r="A21" s="3" t="s">
        <v>137</v>
      </c>
      <c r="B21" s="3" t="s">
        <v>134</v>
      </c>
      <c r="Z21" s="5">
        <v>46</v>
      </c>
    </row>
    <row r="22" spans="1:26" ht="15">
      <c r="A22" s="3" t="s">
        <v>137</v>
      </c>
      <c r="B22" s="3" t="s">
        <v>135</v>
      </c>
      <c r="Z22" s="5">
        <v>67</v>
      </c>
    </row>
    <row r="23" spans="1:57" ht="15">
      <c r="A23" s="3" t="s">
        <v>138</v>
      </c>
      <c r="B23" s="3" t="s">
        <v>2</v>
      </c>
      <c r="D23" s="5">
        <v>84</v>
      </c>
      <c r="E23" s="5" t="s">
        <v>3</v>
      </c>
      <c r="F23" s="5">
        <v>0.4</v>
      </c>
      <c r="H23" s="5">
        <v>6.2</v>
      </c>
      <c r="I23" s="5">
        <v>5.7</v>
      </c>
      <c r="J23" s="5">
        <v>0.5</v>
      </c>
      <c r="K23" s="5" t="s">
        <v>3</v>
      </c>
      <c r="L23" s="5" t="s">
        <v>3</v>
      </c>
      <c r="M23" s="5">
        <v>12</v>
      </c>
      <c r="N23" s="14">
        <v>3</v>
      </c>
      <c r="O23" s="5">
        <v>0.4</v>
      </c>
      <c r="P23" s="5" t="s">
        <v>4</v>
      </c>
      <c r="Q23" s="5">
        <v>22</v>
      </c>
      <c r="R23" s="5" t="s">
        <v>4</v>
      </c>
      <c r="S23" s="5" t="s">
        <v>6</v>
      </c>
      <c r="T23" s="5" t="s">
        <v>6</v>
      </c>
      <c r="U23" s="5" t="s">
        <v>7</v>
      </c>
      <c r="V23" s="5" t="s">
        <v>45</v>
      </c>
      <c r="W23" s="5" t="s">
        <v>6</v>
      </c>
      <c r="Y23" s="5">
        <v>44.2</v>
      </c>
      <c r="Z23" s="5">
        <v>2.3</v>
      </c>
      <c r="AA23" s="7">
        <v>0.2</v>
      </c>
      <c r="AB23" s="5" t="s">
        <v>5</v>
      </c>
      <c r="AC23" s="5" t="s">
        <v>5</v>
      </c>
      <c r="AD23" s="5" t="s">
        <v>5</v>
      </c>
      <c r="AF23" s="15" t="s">
        <v>7</v>
      </c>
      <c r="AG23" s="15">
        <f>83/10</f>
        <v>8.3</v>
      </c>
      <c r="AH23" s="15">
        <f>0.61/10</f>
        <v>0.061</v>
      </c>
      <c r="AI23" s="15" t="s">
        <v>7</v>
      </c>
      <c r="AJ23" s="15">
        <f>0.47/10</f>
        <v>0.047</v>
      </c>
      <c r="AK23" s="15">
        <f>120/10</f>
        <v>12</v>
      </c>
      <c r="AL23" s="15" t="s">
        <v>7</v>
      </c>
      <c r="AM23" s="15" t="s">
        <v>7</v>
      </c>
      <c r="AN23" s="15">
        <f>0.88/10</f>
        <v>0.088</v>
      </c>
      <c r="AO23" s="15">
        <f>1300/10</f>
        <v>130</v>
      </c>
      <c r="AP23" s="15" t="s">
        <v>7</v>
      </c>
      <c r="AQ23" s="15">
        <f>69/10</f>
        <v>6.9</v>
      </c>
      <c r="AR23" s="15" t="s">
        <v>3</v>
      </c>
      <c r="AS23" s="15">
        <f>0.059/10*1000</f>
        <v>5.8999999999999995</v>
      </c>
      <c r="AT23" s="15" t="s">
        <v>7</v>
      </c>
      <c r="AU23" s="15" t="s">
        <v>7</v>
      </c>
      <c r="AV23" s="15" t="s">
        <v>126</v>
      </c>
      <c r="AW23" s="15">
        <f>0.025*100</f>
        <v>2.5</v>
      </c>
      <c r="AX23" s="15"/>
      <c r="AY23" s="15"/>
      <c r="AZ23" s="15"/>
      <c r="BA23" s="15"/>
      <c r="BB23" s="15"/>
      <c r="BC23" s="15"/>
      <c r="BD23" s="15"/>
      <c r="BE23" s="15"/>
    </row>
    <row r="24" spans="1:99" ht="15">
      <c r="A24" s="8" t="s">
        <v>113</v>
      </c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30"/>
      <c r="AB24" s="18"/>
      <c r="AC24" s="18"/>
      <c r="AD24" s="18"/>
      <c r="AE24" s="18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</row>
    <row r="25" spans="1:58" ht="15">
      <c r="A25" s="3" t="s">
        <v>15</v>
      </c>
      <c r="B25" s="3" t="s">
        <v>2</v>
      </c>
      <c r="D25" s="5">
        <v>92.1</v>
      </c>
      <c r="E25" s="5" t="s">
        <v>3</v>
      </c>
      <c r="F25" s="5">
        <v>2.8</v>
      </c>
      <c r="H25" s="5" t="s">
        <v>3</v>
      </c>
      <c r="I25" s="5" t="s">
        <v>3</v>
      </c>
      <c r="J25" s="5" t="s">
        <v>3</v>
      </c>
      <c r="K25" s="5" t="s">
        <v>3</v>
      </c>
      <c r="L25" s="5" t="s">
        <v>3</v>
      </c>
      <c r="M25" s="5" t="s">
        <v>7</v>
      </c>
      <c r="N25" s="15">
        <v>2.5</v>
      </c>
      <c r="O25" s="6">
        <v>2</v>
      </c>
      <c r="R25" s="5">
        <v>63</v>
      </c>
      <c r="S25" s="5">
        <v>0.07</v>
      </c>
      <c r="T25" s="5">
        <v>0.04</v>
      </c>
      <c r="U25" s="5" t="s">
        <v>7</v>
      </c>
      <c r="V25" s="5">
        <v>0.097</v>
      </c>
      <c r="W25" s="5">
        <v>0.15</v>
      </c>
      <c r="Y25" s="5">
        <v>162</v>
      </c>
      <c r="AA25" s="5">
        <v>1.6</v>
      </c>
      <c r="AB25" s="5" t="s">
        <v>5</v>
      </c>
      <c r="AC25" s="5" t="s">
        <v>5</v>
      </c>
      <c r="AD25" s="7">
        <v>0.2</v>
      </c>
      <c r="AE25" s="15"/>
      <c r="AF25" s="15">
        <f>0.073/10*1000</f>
        <v>7.299999999999999</v>
      </c>
      <c r="AW25" s="15">
        <f>0.464*100</f>
        <v>46.400000000000006</v>
      </c>
      <c r="AX25" s="15"/>
      <c r="AY25" s="15"/>
      <c r="AZ25" s="15"/>
      <c r="BA25" s="15"/>
      <c r="BB25" s="15"/>
      <c r="BC25" s="15"/>
      <c r="BD25" s="15"/>
      <c r="BE25" s="15"/>
      <c r="BF25" s="15"/>
    </row>
    <row r="26" spans="1:58" ht="15">
      <c r="A26" s="3" t="s">
        <v>15</v>
      </c>
      <c r="B26" s="3" t="s">
        <v>128</v>
      </c>
      <c r="P26" s="5" t="s">
        <v>4</v>
      </c>
      <c r="Q26" s="5">
        <v>3600</v>
      </c>
      <c r="Z26" s="5">
        <v>14</v>
      </c>
      <c r="AE26" s="15"/>
      <c r="AG26" s="15">
        <f>1100/10</f>
        <v>110</v>
      </c>
      <c r="AH26" s="15">
        <f>0.83/10</f>
        <v>0.08299999999999999</v>
      </c>
      <c r="AI26" s="15" t="s">
        <v>7</v>
      </c>
      <c r="AJ26" s="15">
        <f>1.3/10</f>
        <v>0.13</v>
      </c>
      <c r="AK26" s="15">
        <f>570/10</f>
        <v>57</v>
      </c>
      <c r="AL26" s="15" t="s">
        <v>7</v>
      </c>
      <c r="AM26" s="15">
        <f>720/10</f>
        <v>72</v>
      </c>
      <c r="AN26" s="15">
        <f>6.4/10</f>
        <v>0.64</v>
      </c>
      <c r="AO26" s="15">
        <f>6600/10</f>
        <v>660</v>
      </c>
      <c r="AP26" s="15">
        <f>0.051/10*1000</f>
        <v>5.1</v>
      </c>
      <c r="AQ26" s="15">
        <f>940/10</f>
        <v>94</v>
      </c>
      <c r="AR26" s="15">
        <f>14/10</f>
        <v>1.4</v>
      </c>
      <c r="AS26" s="15">
        <f>0.48/10*1000</f>
        <v>48</v>
      </c>
      <c r="AT26" s="15" t="s">
        <v>7</v>
      </c>
      <c r="AU26" s="15" t="s">
        <v>7</v>
      </c>
      <c r="AV26" s="15">
        <f>3.9/10*1000</f>
        <v>390</v>
      </c>
      <c r="BF26" s="15"/>
    </row>
    <row r="27" spans="1:58" ht="15">
      <c r="A27" s="3" t="s">
        <v>15</v>
      </c>
      <c r="B27" s="3" t="s">
        <v>129</v>
      </c>
      <c r="P27" s="5" t="s">
        <v>4</v>
      </c>
      <c r="Q27" s="5">
        <v>4000</v>
      </c>
      <c r="Z27" s="5">
        <v>34</v>
      </c>
      <c r="AE27" s="15"/>
      <c r="AG27" s="15">
        <f>1100/10</f>
        <v>110</v>
      </c>
      <c r="AH27" s="15">
        <f>0.52/10</f>
        <v>0.052000000000000005</v>
      </c>
      <c r="AI27" s="15" t="s">
        <v>7</v>
      </c>
      <c r="AJ27" s="15">
        <f>1.7/10</f>
        <v>0.16999999999999998</v>
      </c>
      <c r="AK27" s="15">
        <f>480/10</f>
        <v>48</v>
      </c>
      <c r="AL27" s="15" t="s">
        <v>7</v>
      </c>
      <c r="AM27" s="15">
        <f>390/10</f>
        <v>39</v>
      </c>
      <c r="AN27" s="15">
        <f>5.6/10</f>
        <v>0.5599999999999999</v>
      </c>
      <c r="AO27" s="15">
        <f>5600/10</f>
        <v>560</v>
      </c>
      <c r="AP27" s="15">
        <f>0.04/10*1000</f>
        <v>4</v>
      </c>
      <c r="AQ27" s="15">
        <f>850/10</f>
        <v>85</v>
      </c>
      <c r="AR27" s="15">
        <f>13/10</f>
        <v>1.3</v>
      </c>
      <c r="AS27" s="15">
        <f>0.32/10*1000</f>
        <v>32</v>
      </c>
      <c r="AT27" s="15">
        <f>0.014/10*1000</f>
        <v>1.4</v>
      </c>
      <c r="AU27" s="15" t="s">
        <v>7</v>
      </c>
      <c r="AV27" s="14">
        <f>5/10*1000</f>
        <v>500</v>
      </c>
      <c r="BF27" s="15"/>
    </row>
    <row r="28" spans="1:58" ht="15">
      <c r="A28" s="3" t="s">
        <v>15</v>
      </c>
      <c r="B28" s="3" t="s">
        <v>130</v>
      </c>
      <c r="P28" s="5" t="s">
        <v>4</v>
      </c>
      <c r="Q28" s="5">
        <v>5200</v>
      </c>
      <c r="Z28" s="5">
        <v>11</v>
      </c>
      <c r="AE28" s="15"/>
      <c r="AG28" s="15">
        <f>800/10</f>
        <v>80</v>
      </c>
      <c r="AH28" s="15">
        <f>1.5/10</f>
        <v>0.15</v>
      </c>
      <c r="AI28" s="15" t="s">
        <v>7</v>
      </c>
      <c r="AJ28" s="15">
        <f>11/10</f>
        <v>1.1</v>
      </c>
      <c r="AK28" s="15">
        <f>410/10</f>
        <v>41</v>
      </c>
      <c r="AL28" s="15" t="s">
        <v>7</v>
      </c>
      <c r="AM28" s="15">
        <f>1200/10</f>
        <v>120</v>
      </c>
      <c r="AN28" s="15">
        <f>14/10</f>
        <v>1.4</v>
      </c>
      <c r="AO28" s="15">
        <f>6600/10</f>
        <v>660</v>
      </c>
      <c r="AP28" s="15">
        <f>0.075/10*1000</f>
        <v>7.5</v>
      </c>
      <c r="AQ28" s="15">
        <f>1200/10</f>
        <v>120</v>
      </c>
      <c r="AR28" s="15">
        <f>27/10</f>
        <v>2.7</v>
      </c>
      <c r="AS28" s="15">
        <f>0.18/10*1000</f>
        <v>18</v>
      </c>
      <c r="AT28" s="15">
        <f>0.074/10*1000</f>
        <v>7.3999999999999995</v>
      </c>
      <c r="AU28" s="15" t="s">
        <v>7</v>
      </c>
      <c r="AV28" s="15">
        <f>17/10*1000</f>
        <v>1700</v>
      </c>
      <c r="BF28" s="15"/>
    </row>
    <row r="29" spans="1:58" ht="15">
      <c r="A29" s="3" t="s">
        <v>15</v>
      </c>
      <c r="B29" s="3" t="s">
        <v>131</v>
      </c>
      <c r="P29" s="5" t="s">
        <v>4</v>
      </c>
      <c r="Q29" s="5">
        <v>4800</v>
      </c>
      <c r="Z29" s="6">
        <v>7</v>
      </c>
      <c r="AE29" s="15"/>
      <c r="AG29" s="15">
        <f>1100/10</f>
        <v>110</v>
      </c>
      <c r="AH29" s="15">
        <f>5.1/10</f>
        <v>0.51</v>
      </c>
      <c r="AI29" s="15" t="s">
        <v>7</v>
      </c>
      <c r="AJ29" s="15">
        <f>9.7/10</f>
        <v>0.97</v>
      </c>
      <c r="AK29" s="15">
        <f>610/10</f>
        <v>61</v>
      </c>
      <c r="AL29" s="15" t="s">
        <v>7</v>
      </c>
      <c r="AM29" s="15">
        <f>2400/10</f>
        <v>240</v>
      </c>
      <c r="AN29" s="15">
        <v>7.4</v>
      </c>
      <c r="AO29" s="15">
        <f>3900/10</f>
        <v>390</v>
      </c>
      <c r="AP29" s="15">
        <f>0.016/10*1000</f>
        <v>1.6</v>
      </c>
      <c r="AQ29" s="15">
        <f>1800/10</f>
        <v>180</v>
      </c>
      <c r="AR29" s="15">
        <f>18/10</f>
        <v>1.8</v>
      </c>
      <c r="AS29" s="15">
        <f>0.085/10*1000</f>
        <v>8.5</v>
      </c>
      <c r="AT29" s="15">
        <f>0.04/10*1000</f>
        <v>4</v>
      </c>
      <c r="AU29" s="15" t="s">
        <v>7</v>
      </c>
      <c r="AV29" s="15">
        <f>6.2/10*1000</f>
        <v>620</v>
      </c>
      <c r="BF29" s="15"/>
    </row>
    <row r="30" spans="1:58" ht="15">
      <c r="A30" s="3" t="s">
        <v>15</v>
      </c>
      <c r="B30" s="3" t="s">
        <v>132</v>
      </c>
      <c r="P30" s="5" t="s">
        <v>4</v>
      </c>
      <c r="Q30" s="5">
        <v>3800</v>
      </c>
      <c r="Z30" s="5">
        <v>33</v>
      </c>
      <c r="AE30" s="15"/>
      <c r="AG30" s="15">
        <f>750/10</f>
        <v>75</v>
      </c>
      <c r="AH30" s="15">
        <f>0.5/10</f>
        <v>0.05</v>
      </c>
      <c r="AI30" s="15" t="s">
        <v>7</v>
      </c>
      <c r="AJ30" s="15">
        <f>5.1/10</f>
        <v>0.51</v>
      </c>
      <c r="AK30" s="15">
        <f>530/10</f>
        <v>53</v>
      </c>
      <c r="AL30" s="15" t="s">
        <v>7</v>
      </c>
      <c r="AM30" s="15">
        <f>370/10</f>
        <v>37</v>
      </c>
      <c r="AN30" s="15">
        <f>8.2/10</f>
        <v>0.82</v>
      </c>
      <c r="AO30" s="15">
        <f>8000/10</f>
        <v>800</v>
      </c>
      <c r="AP30" s="15">
        <f>0.018/10*1000</f>
        <v>1.8</v>
      </c>
      <c r="AQ30" s="15">
        <f>930/10</f>
        <v>93</v>
      </c>
      <c r="AR30" s="15">
        <f>22/10</f>
        <v>2.2</v>
      </c>
      <c r="AS30" s="15">
        <f>0.066/10*1000</f>
        <v>6.6</v>
      </c>
      <c r="AT30" s="15">
        <f>0.062/10*1000</f>
        <v>6.2</v>
      </c>
      <c r="AU30" s="15" t="s">
        <v>7</v>
      </c>
      <c r="AV30" s="15">
        <f>10/10*1000</f>
        <v>1000</v>
      </c>
      <c r="BF30" s="15"/>
    </row>
    <row r="31" spans="1:58" ht="15">
      <c r="A31" s="3" t="s">
        <v>15</v>
      </c>
      <c r="B31" s="3" t="s">
        <v>133</v>
      </c>
      <c r="P31" s="5" t="s">
        <v>4</v>
      </c>
      <c r="Q31" s="5">
        <v>3800</v>
      </c>
      <c r="Z31" s="5">
        <v>41</v>
      </c>
      <c r="AE31" s="15"/>
      <c r="AG31" s="15">
        <f>540/10</f>
        <v>54</v>
      </c>
      <c r="AH31" s="15">
        <f>0.3/10</f>
        <v>0.03</v>
      </c>
      <c r="AI31" s="15" t="s">
        <v>7</v>
      </c>
      <c r="AJ31" s="15">
        <f>3.1/10</f>
        <v>0.31</v>
      </c>
      <c r="AK31" s="15">
        <f>440/10</f>
        <v>44</v>
      </c>
      <c r="AL31" s="15" t="s">
        <v>7</v>
      </c>
      <c r="AM31" s="15">
        <f>1200/10</f>
        <v>120</v>
      </c>
      <c r="AN31" s="15">
        <f>4.9/10</f>
        <v>0.49000000000000005</v>
      </c>
      <c r="AO31" s="15">
        <f>5300/10</f>
        <v>530</v>
      </c>
      <c r="AP31" s="15">
        <f>0.035/10*1000</f>
        <v>3.5000000000000004</v>
      </c>
      <c r="AQ31" s="15">
        <f>990/10</f>
        <v>99</v>
      </c>
      <c r="AR31" s="15">
        <f>21/10</f>
        <v>2.1</v>
      </c>
      <c r="AS31" s="15">
        <f>0.17/10*1000</f>
        <v>17</v>
      </c>
      <c r="AT31" s="15">
        <f>0.056/10*1000</f>
        <v>5.6</v>
      </c>
      <c r="AU31" s="15" t="s">
        <v>7</v>
      </c>
      <c r="AV31" s="15">
        <f>12/10*1000</f>
        <v>1200</v>
      </c>
      <c r="BF31" s="15"/>
    </row>
    <row r="32" spans="1:58" ht="15">
      <c r="A32" s="3" t="s">
        <v>15</v>
      </c>
      <c r="B32" s="3" t="s">
        <v>134</v>
      </c>
      <c r="P32" s="5" t="s">
        <v>4</v>
      </c>
      <c r="Q32" s="5">
        <v>3600</v>
      </c>
      <c r="Z32" s="5">
        <v>40</v>
      </c>
      <c r="AE32" s="15"/>
      <c r="AG32" s="15">
        <f>1300/10</f>
        <v>130</v>
      </c>
      <c r="AH32" s="15">
        <f>0.67/10</f>
        <v>0.067</v>
      </c>
      <c r="AI32" s="15" t="s">
        <v>7</v>
      </c>
      <c r="AJ32" s="15">
        <f>3.3/10</f>
        <v>0.32999999999999996</v>
      </c>
      <c r="AK32" s="15">
        <f>560/10</f>
        <v>56</v>
      </c>
      <c r="AL32" s="15" t="s">
        <v>7</v>
      </c>
      <c r="AM32" s="15">
        <f>590/10</f>
        <v>59</v>
      </c>
      <c r="AN32" s="15">
        <f>7.6/10</f>
        <v>0.76</v>
      </c>
      <c r="AO32" s="15">
        <f>5700/10</f>
        <v>570</v>
      </c>
      <c r="AP32" s="15">
        <f>0.047/10*1000</f>
        <v>4.7</v>
      </c>
      <c r="AQ32" s="15">
        <f>1100/10</f>
        <v>110</v>
      </c>
      <c r="AR32" s="15">
        <f>15/10</f>
        <v>1.5</v>
      </c>
      <c r="AS32" s="11">
        <f>0.4/10*1000</f>
        <v>40</v>
      </c>
      <c r="AT32" s="15" t="s">
        <v>7</v>
      </c>
      <c r="AU32" s="15" t="s">
        <v>7</v>
      </c>
      <c r="AV32" s="15">
        <f>2.8/10*1000</f>
        <v>279.99999999999994</v>
      </c>
      <c r="BF32" s="15"/>
    </row>
    <row r="33" spans="1:58" ht="15">
      <c r="A33" s="3" t="s">
        <v>15</v>
      </c>
      <c r="B33" s="3" t="s">
        <v>135</v>
      </c>
      <c r="P33" s="5" t="s">
        <v>4</v>
      </c>
      <c r="Q33" s="5">
        <v>4900</v>
      </c>
      <c r="Z33" s="5">
        <v>21</v>
      </c>
      <c r="AE33" s="15"/>
      <c r="AG33" s="15">
        <f>740/10</f>
        <v>74</v>
      </c>
      <c r="AH33" s="15">
        <f>0.83/10</f>
        <v>0.08299999999999999</v>
      </c>
      <c r="AI33" s="15" t="s">
        <v>7</v>
      </c>
      <c r="AJ33" s="15">
        <f>7.5/10</f>
        <v>0.75</v>
      </c>
      <c r="AK33" s="15">
        <f>570/10</f>
        <v>57</v>
      </c>
      <c r="AL33" s="15" t="s">
        <v>7</v>
      </c>
      <c r="AM33" s="15">
        <f>310/10</f>
        <v>31</v>
      </c>
      <c r="AN33" s="15">
        <f>7.7/10</f>
        <v>0.77</v>
      </c>
      <c r="AO33" s="15">
        <f>6700/10</f>
        <v>670</v>
      </c>
      <c r="AP33" s="15">
        <f>0.058/10*1000</f>
        <v>5.800000000000001</v>
      </c>
      <c r="AQ33" s="15">
        <f>740/10</f>
        <v>74</v>
      </c>
      <c r="AR33" s="15">
        <f>10/10</f>
        <v>1</v>
      </c>
      <c r="AS33" s="15">
        <f>0.081/10*1000</f>
        <v>8.1</v>
      </c>
      <c r="AT33" s="15" t="s">
        <v>7</v>
      </c>
      <c r="AU33" s="15" t="s">
        <v>7</v>
      </c>
      <c r="AV33" s="15">
        <f>1.8/10*1000</f>
        <v>180</v>
      </c>
      <c r="BF33" s="15"/>
    </row>
    <row r="34" spans="1:58" ht="15">
      <c r="A34" s="3" t="s">
        <v>139</v>
      </c>
      <c r="B34" s="3" t="s">
        <v>2</v>
      </c>
      <c r="D34" s="5">
        <v>89</v>
      </c>
      <c r="E34" s="5" t="s">
        <v>3</v>
      </c>
      <c r="F34" s="5">
        <v>0.6</v>
      </c>
      <c r="G34" s="15">
        <v>0.38</v>
      </c>
      <c r="H34" s="6">
        <v>1</v>
      </c>
      <c r="I34" s="5">
        <v>1.1</v>
      </c>
      <c r="J34" s="5">
        <v>4.1</v>
      </c>
      <c r="K34" s="5" t="s">
        <v>3</v>
      </c>
      <c r="L34" s="5" t="s">
        <v>3</v>
      </c>
      <c r="M34" s="5">
        <v>6.2</v>
      </c>
      <c r="N34" s="15">
        <v>2.6</v>
      </c>
      <c r="O34" s="5">
        <v>0.9</v>
      </c>
      <c r="R34" s="5" t="s">
        <v>4</v>
      </c>
      <c r="S34" s="5">
        <v>0.02</v>
      </c>
      <c r="T34" s="5" t="s">
        <v>6</v>
      </c>
      <c r="U34" s="5" t="s">
        <v>7</v>
      </c>
      <c r="V34" s="5">
        <v>0.12</v>
      </c>
      <c r="W34" s="5">
        <v>0.02</v>
      </c>
      <c r="Y34" s="5">
        <v>50.3</v>
      </c>
      <c r="Z34" s="5">
        <v>2.6</v>
      </c>
      <c r="AA34" s="5" t="s">
        <v>5</v>
      </c>
      <c r="AB34" s="5" t="s">
        <v>5</v>
      </c>
      <c r="AC34" s="5" t="s">
        <v>5</v>
      </c>
      <c r="AD34" s="5" t="s">
        <v>5</v>
      </c>
      <c r="AE34" s="15"/>
      <c r="AF34" s="15">
        <f>0.011/10*1000</f>
        <v>1.0999999999999999</v>
      </c>
      <c r="AG34" s="15">
        <f>240/10</f>
        <v>24</v>
      </c>
      <c r="AH34" s="15">
        <f>0.25/10</f>
        <v>0.025</v>
      </c>
      <c r="AI34" s="15" t="s">
        <v>7</v>
      </c>
      <c r="AJ34" s="15">
        <f>0.95/10</f>
        <v>0.095</v>
      </c>
      <c r="AK34" s="15">
        <f>320/10</f>
        <v>32</v>
      </c>
      <c r="AL34" s="15" t="s">
        <v>7</v>
      </c>
      <c r="AM34" s="15">
        <f>640/10</f>
        <v>64</v>
      </c>
      <c r="AN34" s="15">
        <f>1.6/10</f>
        <v>0.16</v>
      </c>
      <c r="AO34" s="15">
        <f>2500/10</f>
        <v>250</v>
      </c>
      <c r="AP34" s="15">
        <f>0.016/10*1000</f>
        <v>1.6</v>
      </c>
      <c r="AQ34" s="15">
        <f>100/10</f>
        <v>10</v>
      </c>
      <c r="AR34" s="15">
        <f>2.3/10</f>
        <v>0.22999999999999998</v>
      </c>
      <c r="AS34" s="15">
        <f>0.023/10*1000</f>
        <v>2.3</v>
      </c>
      <c r="AT34" s="15" t="s">
        <v>7</v>
      </c>
      <c r="AU34" s="15" t="s">
        <v>7</v>
      </c>
      <c r="AV34" s="15" t="s">
        <v>126</v>
      </c>
      <c r="AW34" s="15">
        <f>0.062*100</f>
        <v>6.2</v>
      </c>
      <c r="AX34" s="15"/>
      <c r="AY34" s="15"/>
      <c r="AZ34" s="15"/>
      <c r="BA34" s="15"/>
      <c r="BB34" s="15"/>
      <c r="BC34" s="15"/>
      <c r="BD34" s="15"/>
      <c r="BE34" s="15"/>
      <c r="BF34" s="15"/>
    </row>
    <row r="35" spans="1:58" ht="15">
      <c r="A35" s="3" t="s">
        <v>139</v>
      </c>
      <c r="B35" s="3" t="s">
        <v>128</v>
      </c>
      <c r="P35" s="5">
        <v>6400</v>
      </c>
      <c r="Q35" s="5">
        <v>8500</v>
      </c>
      <c r="AE35" s="15"/>
      <c r="BF35" s="15"/>
    </row>
    <row r="36" spans="1:58" ht="15">
      <c r="A36" s="3" t="s">
        <v>139</v>
      </c>
      <c r="B36" s="3" t="s">
        <v>129</v>
      </c>
      <c r="P36" s="5">
        <v>5700</v>
      </c>
      <c r="Q36" s="5">
        <v>8300</v>
      </c>
      <c r="AE36" s="15"/>
      <c r="BF36" s="15"/>
    </row>
    <row r="37" spans="1:17" ht="15">
      <c r="A37" s="3" t="s">
        <v>139</v>
      </c>
      <c r="B37" s="3" t="s">
        <v>130</v>
      </c>
      <c r="P37" s="5">
        <v>4300</v>
      </c>
      <c r="Q37" s="5">
        <v>7900</v>
      </c>
    </row>
    <row r="38" spans="1:17" ht="15">
      <c r="A38" s="3" t="s">
        <v>139</v>
      </c>
      <c r="B38" s="3" t="s">
        <v>131</v>
      </c>
      <c r="P38" s="5">
        <v>5000</v>
      </c>
      <c r="Q38" s="5">
        <v>7700</v>
      </c>
    </row>
    <row r="39" spans="1:17" ht="15">
      <c r="A39" s="3" t="s">
        <v>139</v>
      </c>
      <c r="B39" s="3" t="s">
        <v>132</v>
      </c>
      <c r="P39" s="5">
        <v>3500</v>
      </c>
      <c r="Q39" s="5">
        <v>9200</v>
      </c>
    </row>
    <row r="40" spans="1:17" ht="15">
      <c r="A40" s="3" t="s">
        <v>139</v>
      </c>
      <c r="B40" s="3" t="s">
        <v>133</v>
      </c>
      <c r="P40" s="5">
        <v>2900</v>
      </c>
      <c r="Q40" s="5">
        <v>7600</v>
      </c>
    </row>
    <row r="41" spans="1:17" ht="15">
      <c r="A41" s="3" t="s">
        <v>139</v>
      </c>
      <c r="B41" s="3" t="s">
        <v>134</v>
      </c>
      <c r="P41" s="5">
        <v>2200</v>
      </c>
      <c r="Q41" s="5">
        <v>5700</v>
      </c>
    </row>
    <row r="42" spans="1:17" ht="15">
      <c r="A42" s="3" t="s">
        <v>139</v>
      </c>
      <c r="B42" s="3" t="s">
        <v>135</v>
      </c>
      <c r="P42" s="5">
        <v>3700</v>
      </c>
      <c r="Q42" s="5">
        <v>9900</v>
      </c>
    </row>
    <row r="43" spans="1:57" ht="15">
      <c r="A43" s="3" t="s">
        <v>140</v>
      </c>
      <c r="B43" s="3" t="s">
        <v>2</v>
      </c>
      <c r="D43" s="5">
        <v>89.6</v>
      </c>
      <c r="E43" s="5" t="s">
        <v>3</v>
      </c>
      <c r="F43" s="5">
        <v>1.2</v>
      </c>
      <c r="H43" s="5">
        <v>1.7</v>
      </c>
      <c r="I43" s="5">
        <v>2.2</v>
      </c>
      <c r="J43" s="5">
        <v>1.9</v>
      </c>
      <c r="K43" s="5" t="s">
        <v>3</v>
      </c>
      <c r="L43" s="5" t="s">
        <v>3</v>
      </c>
      <c r="M43" s="5">
        <v>5.8</v>
      </c>
      <c r="N43" s="15">
        <v>2.6</v>
      </c>
      <c r="O43" s="5">
        <v>0.5</v>
      </c>
      <c r="P43" s="5" t="s">
        <v>4</v>
      </c>
      <c r="Q43" s="5" t="s">
        <v>4</v>
      </c>
      <c r="R43" s="5" t="s">
        <v>4</v>
      </c>
      <c r="S43" s="5">
        <v>0.02</v>
      </c>
      <c r="T43" s="5" t="s">
        <v>6</v>
      </c>
      <c r="U43" s="5" t="s">
        <v>7</v>
      </c>
      <c r="V43" s="5">
        <v>0.08</v>
      </c>
      <c r="W43" s="5">
        <v>0.03</v>
      </c>
      <c r="Y43" s="5">
        <v>35.3</v>
      </c>
      <c r="Z43" s="5">
        <v>7.3</v>
      </c>
      <c r="AA43" s="5" t="s">
        <v>5</v>
      </c>
      <c r="AB43" s="5" t="s">
        <v>5</v>
      </c>
      <c r="AC43" s="5" t="s">
        <v>5</v>
      </c>
      <c r="AD43" s="5" t="s">
        <v>5</v>
      </c>
      <c r="AF43" s="15" t="s">
        <v>7</v>
      </c>
      <c r="AG43" s="15">
        <f>230/10</f>
        <v>23</v>
      </c>
      <c r="AH43" s="15">
        <f>0.44/10</f>
        <v>0.044</v>
      </c>
      <c r="AI43" s="15" t="s">
        <v>7</v>
      </c>
      <c r="AJ43" s="15">
        <f>1.5/10</f>
        <v>0.15</v>
      </c>
      <c r="AK43" s="15">
        <f>400/10</f>
        <v>40</v>
      </c>
      <c r="AL43" s="15" t="s">
        <v>7</v>
      </c>
      <c r="AM43" s="15">
        <f>70/10</f>
        <v>7</v>
      </c>
      <c r="AN43" s="14">
        <f>2/10</f>
        <v>0.2</v>
      </c>
      <c r="AO43" s="15">
        <f>2000/10</f>
        <v>200</v>
      </c>
      <c r="AP43" s="15">
        <f>0.02/10*1000</f>
        <v>2</v>
      </c>
      <c r="AQ43" s="15">
        <f>140/10</f>
        <v>14</v>
      </c>
      <c r="AR43" s="15">
        <f>2.3/10</f>
        <v>0.22999999999999998</v>
      </c>
      <c r="AS43" s="15" t="s">
        <v>7</v>
      </c>
      <c r="AT43" s="15" t="s">
        <v>7</v>
      </c>
      <c r="AU43" s="15" t="s">
        <v>7</v>
      </c>
      <c r="AV43" s="15" t="s">
        <v>126</v>
      </c>
      <c r="AW43" s="15">
        <f>0.132*100</f>
        <v>13.200000000000001</v>
      </c>
      <c r="AX43" s="15"/>
      <c r="AY43" s="15"/>
      <c r="AZ43" s="15"/>
      <c r="BA43" s="15"/>
      <c r="BB43" s="15"/>
      <c r="BC43" s="15"/>
      <c r="BD43" s="15"/>
      <c r="BE43" s="15"/>
    </row>
    <row r="44" spans="1:57" ht="15">
      <c r="A44" s="3" t="s">
        <v>141</v>
      </c>
      <c r="B44" s="3" t="s">
        <v>2</v>
      </c>
      <c r="D44" s="5">
        <v>91.8</v>
      </c>
      <c r="E44" s="5">
        <v>0.3</v>
      </c>
      <c r="F44" s="5">
        <v>3.3</v>
      </c>
      <c r="H44" s="5" t="s">
        <v>3</v>
      </c>
      <c r="I44" s="5">
        <v>0.3</v>
      </c>
      <c r="J44" s="5" t="s">
        <v>3</v>
      </c>
      <c r="K44" s="5" t="s">
        <v>3</v>
      </c>
      <c r="L44" s="5" t="s">
        <v>3</v>
      </c>
      <c r="M44" s="5" t="s">
        <v>7</v>
      </c>
      <c r="N44" s="15">
        <v>2.4</v>
      </c>
      <c r="O44" s="5">
        <v>1.4</v>
      </c>
      <c r="R44" s="5">
        <v>13</v>
      </c>
      <c r="S44" s="5">
        <v>0.07</v>
      </c>
      <c r="T44" s="5">
        <v>0.06</v>
      </c>
      <c r="U44" s="5">
        <v>1.5</v>
      </c>
      <c r="V44" s="5">
        <v>0.27</v>
      </c>
      <c r="W44" s="5">
        <v>0.1</v>
      </c>
      <c r="Y44" s="5">
        <v>164</v>
      </c>
      <c r="AA44" s="5">
        <v>1.3</v>
      </c>
      <c r="AB44" s="5" t="s">
        <v>5</v>
      </c>
      <c r="AC44" s="5" t="s">
        <v>5</v>
      </c>
      <c r="AD44" s="5" t="s">
        <v>5</v>
      </c>
      <c r="AF44" s="15">
        <f>0.055/10*1000</f>
        <v>5.5</v>
      </c>
      <c r="AW44" s="15">
        <f>0.473*100</f>
        <v>47.3</v>
      </c>
      <c r="AX44" s="15"/>
      <c r="AY44" s="15"/>
      <c r="AZ44" s="15"/>
      <c r="BA44" s="15"/>
      <c r="BB44" s="15"/>
      <c r="BC44" s="15"/>
      <c r="BD44" s="15"/>
      <c r="BE44" s="15"/>
    </row>
    <row r="45" spans="1:48" ht="15">
      <c r="A45" s="3" t="s">
        <v>141</v>
      </c>
      <c r="B45" s="3" t="s">
        <v>128</v>
      </c>
      <c r="P45" s="5" t="s">
        <v>4</v>
      </c>
      <c r="Q45" s="5">
        <v>2600</v>
      </c>
      <c r="Z45" s="5">
        <v>140</v>
      </c>
      <c r="AG45" s="15">
        <f>2300/10</f>
        <v>230</v>
      </c>
      <c r="AH45" s="15">
        <f>2.7/10</f>
        <v>0.27</v>
      </c>
      <c r="AI45" s="15" t="s">
        <v>7</v>
      </c>
      <c r="AJ45" s="15">
        <f>13/10</f>
        <v>1.3</v>
      </c>
      <c r="AK45" s="15">
        <f>760/10</f>
        <v>76</v>
      </c>
      <c r="AL45" s="15" t="s">
        <v>7</v>
      </c>
      <c r="AM45" s="15">
        <f>200/10</f>
        <v>20</v>
      </c>
      <c r="AN45" s="15">
        <f>4.4/10</f>
        <v>0.44000000000000006</v>
      </c>
      <c r="AO45" s="15">
        <f>4500/10</f>
        <v>450</v>
      </c>
      <c r="AP45" s="15">
        <f>0.17/10*1000</f>
        <v>17</v>
      </c>
      <c r="AQ45" s="15">
        <f>350/10</f>
        <v>35</v>
      </c>
      <c r="AR45" s="15">
        <f>22/10</f>
        <v>2.2</v>
      </c>
      <c r="AS45" s="15">
        <f>0.023/10*1000</f>
        <v>2.3</v>
      </c>
      <c r="AT45" s="15" t="s">
        <v>7</v>
      </c>
      <c r="AU45" s="15" t="s">
        <v>7</v>
      </c>
      <c r="AV45" s="15">
        <f>15/10*1000</f>
        <v>1500</v>
      </c>
    </row>
    <row r="46" spans="1:48" ht="15">
      <c r="A46" s="3" t="s">
        <v>141</v>
      </c>
      <c r="B46" s="3" t="s">
        <v>129</v>
      </c>
      <c r="P46" s="5" t="s">
        <v>4</v>
      </c>
      <c r="Q46" s="5">
        <v>3000</v>
      </c>
      <c r="Z46" s="5">
        <v>24</v>
      </c>
      <c r="AG46" s="15">
        <f>2800/10</f>
        <v>280</v>
      </c>
      <c r="AH46" s="15">
        <f>2.6/10</f>
        <v>0.26</v>
      </c>
      <c r="AI46" s="15" t="s">
        <v>7</v>
      </c>
      <c r="AJ46" s="15">
        <f>4.3/10</f>
        <v>0.43</v>
      </c>
      <c r="AK46" s="15">
        <f>570/10</f>
        <v>57</v>
      </c>
      <c r="AL46" s="15">
        <f>0.066/10*1000</f>
        <v>6.6</v>
      </c>
      <c r="AM46" s="15">
        <f>1400/10</f>
        <v>140</v>
      </c>
      <c r="AN46" s="15">
        <f>2.7/10</f>
        <v>0.27</v>
      </c>
      <c r="AO46" s="15">
        <f>2100/10</f>
        <v>210</v>
      </c>
      <c r="AP46" s="15">
        <f>0.15/10*1000</f>
        <v>15</v>
      </c>
      <c r="AQ46" s="15">
        <f>1000/10</f>
        <v>100</v>
      </c>
      <c r="AR46" s="15">
        <f>8.9/10</f>
        <v>0.89</v>
      </c>
      <c r="AS46" s="15">
        <f>0.059/10*1000</f>
        <v>5.8999999999999995</v>
      </c>
      <c r="AT46" s="15">
        <f>0.029/10*1000</f>
        <v>2.9000000000000004</v>
      </c>
      <c r="AU46" s="15" t="s">
        <v>7</v>
      </c>
      <c r="AV46" s="15" t="s">
        <v>126</v>
      </c>
    </row>
    <row r="47" spans="1:48" ht="15">
      <c r="A47" s="3" t="s">
        <v>141</v>
      </c>
      <c r="B47" s="3" t="s">
        <v>130</v>
      </c>
      <c r="P47" s="5" t="s">
        <v>4</v>
      </c>
      <c r="Q47" s="5">
        <v>2300</v>
      </c>
      <c r="Z47" s="5">
        <v>16</v>
      </c>
      <c r="AG47" s="15">
        <f>2100/10</f>
        <v>210</v>
      </c>
      <c r="AH47" s="14">
        <f>7/10</f>
        <v>0.7</v>
      </c>
      <c r="AI47" s="15" t="s">
        <v>7</v>
      </c>
      <c r="AJ47" s="15">
        <f>4.4/10</f>
        <v>0.44000000000000006</v>
      </c>
      <c r="AK47" s="15">
        <f>580/10</f>
        <v>58</v>
      </c>
      <c r="AL47" s="15" t="s">
        <v>7</v>
      </c>
      <c r="AM47" s="15">
        <f>690/10</f>
        <v>69</v>
      </c>
      <c r="AN47" s="14">
        <f>5/10</f>
        <v>0.5</v>
      </c>
      <c r="AO47" s="15">
        <f>3100/10</f>
        <v>310</v>
      </c>
      <c r="AP47" s="15">
        <f>0.42/10*1000</f>
        <v>41.99999999999999</v>
      </c>
      <c r="AQ47" s="15">
        <f>520/10</f>
        <v>52</v>
      </c>
      <c r="AR47" s="15">
        <f>14/10</f>
        <v>1.4</v>
      </c>
      <c r="AS47" s="15">
        <f>0.092/10*1000</f>
        <v>9.2</v>
      </c>
      <c r="AT47" s="15" t="s">
        <v>7</v>
      </c>
      <c r="AU47" s="15">
        <f>0.02/10*1000</f>
        <v>2</v>
      </c>
      <c r="AV47" s="15">
        <f>4.2/10*1000</f>
        <v>420.00000000000006</v>
      </c>
    </row>
    <row r="48" spans="1:48" ht="15">
      <c r="A48" s="3" t="s">
        <v>141</v>
      </c>
      <c r="B48" s="3" t="s">
        <v>131</v>
      </c>
      <c r="P48" s="5" t="s">
        <v>4</v>
      </c>
      <c r="Q48" s="5">
        <v>2100</v>
      </c>
      <c r="Z48" s="5">
        <v>17</v>
      </c>
      <c r="AG48" s="15">
        <f>2000/10</f>
        <v>200</v>
      </c>
      <c r="AH48" s="15">
        <f>3.7/10</f>
        <v>0.37</v>
      </c>
      <c r="AI48" s="15" t="s">
        <v>7</v>
      </c>
      <c r="AJ48" s="15">
        <f>2.6/10</f>
        <v>0.26</v>
      </c>
      <c r="AK48" s="15">
        <f>550/10</f>
        <v>55</v>
      </c>
      <c r="AL48" s="15" t="s">
        <v>7</v>
      </c>
      <c r="AM48" s="15">
        <f>870/10</f>
        <v>87</v>
      </c>
      <c r="AN48" s="15">
        <f>2.3/10</f>
        <v>0.22999999999999998</v>
      </c>
      <c r="AO48" s="15">
        <f>2400/10</f>
        <v>240</v>
      </c>
      <c r="AP48" s="15">
        <f>0.066/10*1000</f>
        <v>6.6</v>
      </c>
      <c r="AQ48" s="15">
        <f>940/10</f>
        <v>94</v>
      </c>
      <c r="AR48" s="15">
        <f>10/10</f>
        <v>1</v>
      </c>
      <c r="AS48" s="15">
        <f>0.023/10*1000</f>
        <v>2.3</v>
      </c>
      <c r="AT48" s="15">
        <f>0.017/10*1000</f>
        <v>1.7000000000000002</v>
      </c>
      <c r="AU48" s="15" t="s">
        <v>7</v>
      </c>
      <c r="AV48" s="15">
        <f>2.7/10*1000</f>
        <v>270</v>
      </c>
    </row>
    <row r="49" spans="1:48" ht="15">
      <c r="A49" s="3" t="s">
        <v>141</v>
      </c>
      <c r="B49" s="3" t="s">
        <v>132</v>
      </c>
      <c r="P49" s="5" t="s">
        <v>4</v>
      </c>
      <c r="Q49" s="5">
        <v>1900</v>
      </c>
      <c r="Z49" s="5">
        <v>130</v>
      </c>
      <c r="AG49" s="15">
        <f>2100/10</f>
        <v>210</v>
      </c>
      <c r="AH49" s="15">
        <f>1.1/10</f>
        <v>0.11000000000000001</v>
      </c>
      <c r="AI49" s="15" t="s">
        <v>7</v>
      </c>
      <c r="AJ49" s="14">
        <f>6/10</f>
        <v>0.6</v>
      </c>
      <c r="AK49" s="15">
        <f>640/10</f>
        <v>64</v>
      </c>
      <c r="AL49" s="15" t="s">
        <v>7</v>
      </c>
      <c r="AM49" s="15">
        <f>150/10</f>
        <v>15</v>
      </c>
      <c r="AN49" s="15">
        <f>4.2/10</f>
        <v>0.42000000000000004</v>
      </c>
      <c r="AO49" s="15">
        <f>4500/10</f>
        <v>450</v>
      </c>
      <c r="AP49" s="15">
        <f>0.32/10*1000</f>
        <v>32</v>
      </c>
      <c r="AQ49" s="15">
        <f>340/10</f>
        <v>34</v>
      </c>
      <c r="AR49" s="15">
        <f>20/10</f>
        <v>2</v>
      </c>
      <c r="AS49" s="15">
        <f>0.02/10*1000</f>
        <v>2</v>
      </c>
      <c r="AT49" s="15" t="s">
        <v>7</v>
      </c>
      <c r="AU49" s="15">
        <f>0.012/10*1000</f>
        <v>1.2000000000000002</v>
      </c>
      <c r="AV49" s="15">
        <f>15/10*1000</f>
        <v>1500</v>
      </c>
    </row>
    <row r="50" spans="1:58" ht="15">
      <c r="A50" s="3" t="s">
        <v>141</v>
      </c>
      <c r="B50" s="3" t="s">
        <v>133</v>
      </c>
      <c r="P50" s="5" t="s">
        <v>4</v>
      </c>
      <c r="Q50" s="5">
        <v>4100</v>
      </c>
      <c r="Z50" s="5">
        <v>150</v>
      </c>
      <c r="AE50" s="15"/>
      <c r="AG50" s="15">
        <f>2400/10</f>
        <v>240</v>
      </c>
      <c r="AH50" s="15">
        <f>5.1/10</f>
        <v>0.51</v>
      </c>
      <c r="AI50" s="15">
        <f>0.01/10*1000</f>
        <v>1</v>
      </c>
      <c r="AJ50" s="15">
        <f>11/10</f>
        <v>1.1</v>
      </c>
      <c r="AK50" s="15">
        <f>710/10</f>
        <v>71</v>
      </c>
      <c r="AL50" s="15" t="s">
        <v>7</v>
      </c>
      <c r="AM50" s="15">
        <f>170/10</f>
        <v>17</v>
      </c>
      <c r="AN50" s="15">
        <f>4.3/10</f>
        <v>0.43</v>
      </c>
      <c r="AO50" s="15">
        <f>4100/10</f>
        <v>410</v>
      </c>
      <c r="AP50" s="15">
        <f>0.28/10*1000</f>
        <v>28.000000000000004</v>
      </c>
      <c r="AQ50" s="15">
        <f>350/10</f>
        <v>35</v>
      </c>
      <c r="AR50" s="15">
        <f>19/10</f>
        <v>1.9</v>
      </c>
      <c r="AS50" s="15">
        <f>0.016/10*1000</f>
        <v>1.6</v>
      </c>
      <c r="AT50" s="15" t="s">
        <v>7</v>
      </c>
      <c r="AU50" s="15" t="s">
        <v>7</v>
      </c>
      <c r="AV50" s="15">
        <f>12/10*1000</f>
        <v>1200</v>
      </c>
      <c r="BF50" s="15"/>
    </row>
    <row r="51" spans="1:58" ht="15">
      <c r="A51" s="3" t="s">
        <v>141</v>
      </c>
      <c r="B51" s="3" t="s">
        <v>134</v>
      </c>
      <c r="P51" s="5" t="s">
        <v>4</v>
      </c>
      <c r="Q51" s="5">
        <v>2500</v>
      </c>
      <c r="Z51" s="5">
        <v>140</v>
      </c>
      <c r="AE51" s="15"/>
      <c r="AG51" s="15">
        <f>2100/10</f>
        <v>210</v>
      </c>
      <c r="AH51" s="15">
        <f>0.58/10</f>
        <v>0.057999999999999996</v>
      </c>
      <c r="AI51" s="15" t="s">
        <v>7</v>
      </c>
      <c r="AJ51" s="15">
        <f>4.9/10</f>
        <v>0.49000000000000005</v>
      </c>
      <c r="AK51" s="15">
        <f>600/10</f>
        <v>60</v>
      </c>
      <c r="AL51" s="15" t="s">
        <v>7</v>
      </c>
      <c r="AM51" s="15">
        <f>140/10</f>
        <v>14</v>
      </c>
      <c r="AN51" s="14">
        <f>4/10</f>
        <v>0.4</v>
      </c>
      <c r="AO51" s="15">
        <f>4500/10</f>
        <v>450</v>
      </c>
      <c r="AP51" s="15">
        <f>0.4/10*1000</f>
        <v>40</v>
      </c>
      <c r="AQ51" s="15">
        <f>320/10</f>
        <v>32</v>
      </c>
      <c r="AR51" s="15">
        <f>21/10</f>
        <v>2.1</v>
      </c>
      <c r="AS51" s="15">
        <f>0.015/10*1000</f>
        <v>1.5</v>
      </c>
      <c r="AT51" s="15" t="s">
        <v>7</v>
      </c>
      <c r="AU51" s="15">
        <f>0.013/10*1000</f>
        <v>1.3</v>
      </c>
      <c r="AV51" s="15">
        <f>15/10*1000</f>
        <v>1500</v>
      </c>
      <c r="BF51" s="15"/>
    </row>
    <row r="52" spans="1:58" ht="15">
      <c r="A52" s="3" t="s">
        <v>141</v>
      </c>
      <c r="B52" s="3" t="s">
        <v>135</v>
      </c>
      <c r="P52" s="5" t="s">
        <v>4</v>
      </c>
      <c r="Q52" s="5">
        <v>1900</v>
      </c>
      <c r="Z52" s="5">
        <v>46</v>
      </c>
      <c r="AE52" s="15"/>
      <c r="AG52" s="15">
        <f>1300/10</f>
        <v>130</v>
      </c>
      <c r="AH52" s="15">
        <f>1.3/10</f>
        <v>0.13</v>
      </c>
      <c r="AI52" s="15">
        <f>0.011/10*1000</f>
        <v>1.0999999999999999</v>
      </c>
      <c r="AJ52" s="15">
        <f>4.4/10</f>
        <v>0.44000000000000006</v>
      </c>
      <c r="AK52" s="15">
        <f>630/10</f>
        <v>63</v>
      </c>
      <c r="AL52" s="15" t="s">
        <v>7</v>
      </c>
      <c r="AM52" s="15">
        <f>160/10</f>
        <v>16</v>
      </c>
      <c r="AN52" s="15">
        <f>4.8/10</f>
        <v>0.48</v>
      </c>
      <c r="AO52" s="15">
        <f>2900/10</f>
        <v>290</v>
      </c>
      <c r="AP52" s="15">
        <f>0.097/10*1000</f>
        <v>9.700000000000001</v>
      </c>
      <c r="AQ52" s="15">
        <f>250/10</f>
        <v>25</v>
      </c>
      <c r="AR52" s="15">
        <f>9.5/10</f>
        <v>0.95</v>
      </c>
      <c r="AS52" s="15">
        <f>0.016/10*1000</f>
        <v>1.6</v>
      </c>
      <c r="AT52" s="15">
        <f>0.029/10*1000</f>
        <v>2.9000000000000004</v>
      </c>
      <c r="AU52" s="15" t="s">
        <v>7</v>
      </c>
      <c r="AV52" s="15">
        <f>4.9/10*1000</f>
        <v>490.00000000000006</v>
      </c>
      <c r="BF52" s="15"/>
    </row>
    <row r="53" spans="1:99" ht="15">
      <c r="A53" s="8" t="s">
        <v>114</v>
      </c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29"/>
      <c r="AF53" s="18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18"/>
      <c r="AX53" s="18"/>
      <c r="AY53" s="18"/>
      <c r="AZ53" s="18"/>
      <c r="BA53" s="18"/>
      <c r="BB53" s="18"/>
      <c r="BC53" s="18"/>
      <c r="BD53" s="18"/>
      <c r="BE53" s="18"/>
      <c r="BF53" s="29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</row>
    <row r="54" spans="1:99" ht="15">
      <c r="A54" s="3" t="s">
        <v>142</v>
      </c>
      <c r="B54" s="3" t="s">
        <v>2</v>
      </c>
      <c r="D54" s="6">
        <v>5</v>
      </c>
      <c r="E54" s="5">
        <v>0.3</v>
      </c>
      <c r="F54" s="5">
        <v>21.1</v>
      </c>
      <c r="G54" s="15">
        <v>0.21</v>
      </c>
      <c r="H54" s="5">
        <v>0.4</v>
      </c>
      <c r="I54" s="5">
        <v>0.7</v>
      </c>
      <c r="J54" s="5">
        <v>0.6</v>
      </c>
      <c r="K54" s="5">
        <v>0.6</v>
      </c>
      <c r="L54" s="5" t="s">
        <v>3</v>
      </c>
      <c r="M54" s="5">
        <v>2.3</v>
      </c>
      <c r="N54" s="15">
        <v>20.6</v>
      </c>
      <c r="O54" s="5">
        <v>7.3</v>
      </c>
      <c r="S54" s="5" t="s">
        <v>6</v>
      </c>
      <c r="T54" s="5">
        <v>0.06</v>
      </c>
      <c r="U54" s="5">
        <v>25</v>
      </c>
      <c r="V54" s="5">
        <v>0.074</v>
      </c>
      <c r="W54" s="5" t="s">
        <v>6</v>
      </c>
      <c r="Y54" s="5" t="s">
        <v>42</v>
      </c>
      <c r="Z54" s="5" t="s">
        <v>8</v>
      </c>
      <c r="AE54" s="15"/>
      <c r="AF54" s="15">
        <f>0.046/10*1000</f>
        <v>4.6</v>
      </c>
      <c r="AG54" s="15">
        <f>1500/10</f>
        <v>150</v>
      </c>
      <c r="AH54" s="15">
        <f>0.23/10</f>
        <v>0.023</v>
      </c>
      <c r="AI54" s="15" t="s">
        <v>7</v>
      </c>
      <c r="AJ54" s="15">
        <f>22/10</f>
        <v>2.2</v>
      </c>
      <c r="AK54" s="15">
        <f>3600/10</f>
        <v>360</v>
      </c>
      <c r="AL54" s="15">
        <f>0.041/10*1000</f>
        <v>4.1000000000000005</v>
      </c>
      <c r="AM54" s="15">
        <f>380/10</f>
        <v>38</v>
      </c>
      <c r="AN54" s="15">
        <f>2.9/10</f>
        <v>0.29</v>
      </c>
      <c r="AO54" s="15">
        <f>34000/10</f>
        <v>3400</v>
      </c>
      <c r="AP54" s="15">
        <f>0.026/10*1000</f>
        <v>2.6</v>
      </c>
      <c r="AQ54" s="15">
        <f>3200/10</f>
        <v>320</v>
      </c>
      <c r="AR54" s="15">
        <f>25/10</f>
        <v>2.5</v>
      </c>
      <c r="AS54" s="15">
        <f>0.065/10*1000</f>
        <v>6.500000000000001</v>
      </c>
      <c r="AT54" s="15" t="s">
        <v>7</v>
      </c>
      <c r="AU54" s="15">
        <f>0.011/10*1000</f>
        <v>1.0999999999999999</v>
      </c>
      <c r="AV54" s="15">
        <f>1.8/10*1000</f>
        <v>180</v>
      </c>
      <c r="AW54" s="15">
        <f>2.2*100</f>
        <v>220.00000000000003</v>
      </c>
      <c r="AX54" s="15" t="s">
        <v>5</v>
      </c>
      <c r="AY54" s="15">
        <v>0.1</v>
      </c>
      <c r="AZ54" s="15" t="s">
        <v>5</v>
      </c>
      <c r="BA54" s="15" t="s">
        <v>5</v>
      </c>
      <c r="BB54" s="15" t="s">
        <v>5</v>
      </c>
      <c r="BC54" s="15">
        <v>0.1</v>
      </c>
      <c r="BD54" s="15" t="s">
        <v>5</v>
      </c>
      <c r="BE54" s="15">
        <v>0.1</v>
      </c>
      <c r="BF54" s="14">
        <v>3</v>
      </c>
      <c r="BG54" s="14">
        <v>1</v>
      </c>
      <c r="BH54" s="15">
        <v>0.5</v>
      </c>
      <c r="BI54" s="15">
        <v>1.3</v>
      </c>
      <c r="BJ54" s="15">
        <v>0.5</v>
      </c>
      <c r="BK54" s="15">
        <v>1.4</v>
      </c>
      <c r="BL54" s="15">
        <v>0.2</v>
      </c>
      <c r="BM54" s="15">
        <v>29</v>
      </c>
      <c r="BN54" s="15">
        <v>0.2</v>
      </c>
      <c r="BO54" s="15">
        <v>7.2</v>
      </c>
      <c r="BP54" s="15">
        <v>2.7</v>
      </c>
      <c r="BQ54" s="15">
        <v>0.6</v>
      </c>
      <c r="BR54" s="15">
        <v>0.3</v>
      </c>
      <c r="BS54" s="15" t="s">
        <v>5</v>
      </c>
      <c r="BT54" s="15">
        <v>0.4</v>
      </c>
      <c r="BU54" s="15" t="s">
        <v>5</v>
      </c>
      <c r="BV54" s="15">
        <v>11</v>
      </c>
      <c r="BW54" s="15">
        <v>0.5</v>
      </c>
      <c r="BX54" s="15" t="s">
        <v>5</v>
      </c>
      <c r="BY54" s="15" t="s">
        <v>5</v>
      </c>
      <c r="BZ54" s="15">
        <v>35.9</v>
      </c>
      <c r="CA54" s="15" t="s">
        <v>5</v>
      </c>
      <c r="CB54" s="15">
        <v>2.7</v>
      </c>
      <c r="CC54" s="15" t="s">
        <v>5</v>
      </c>
      <c r="CD54" s="15" t="s">
        <v>5</v>
      </c>
      <c r="CE54" s="15" t="s">
        <v>5</v>
      </c>
      <c r="CF54" s="15" t="s">
        <v>5</v>
      </c>
      <c r="CG54" s="15" t="s">
        <v>5</v>
      </c>
      <c r="CH54" s="15" t="s">
        <v>5</v>
      </c>
      <c r="CI54" s="15" t="s">
        <v>5</v>
      </c>
      <c r="CJ54" s="15" t="s">
        <v>5</v>
      </c>
      <c r="CK54" s="15" t="s">
        <v>5</v>
      </c>
      <c r="CL54" s="15">
        <v>0.1</v>
      </c>
      <c r="CM54" s="15" t="s">
        <v>5</v>
      </c>
      <c r="CN54" s="15">
        <v>0.3</v>
      </c>
      <c r="CO54" s="15" t="s">
        <v>5</v>
      </c>
      <c r="CP54" s="15">
        <v>0.2</v>
      </c>
      <c r="CQ54" s="15">
        <v>0.2</v>
      </c>
      <c r="CR54" s="15">
        <v>0.5</v>
      </c>
      <c r="CS54" s="15" t="s">
        <v>5</v>
      </c>
      <c r="CT54" s="15">
        <v>0.1</v>
      </c>
      <c r="CU54" s="15">
        <v>0.3</v>
      </c>
    </row>
    <row r="55" spans="1:58" ht="15">
      <c r="A55" s="3" t="s">
        <v>142</v>
      </c>
      <c r="B55" s="3" t="s">
        <v>128</v>
      </c>
      <c r="AE55" s="15">
        <v>3100</v>
      </c>
      <c r="BF55" s="15"/>
    </row>
    <row r="56" spans="1:31" ht="15">
      <c r="A56" s="3" t="s">
        <v>142</v>
      </c>
      <c r="B56" s="3" t="s">
        <v>129</v>
      </c>
      <c r="AE56" s="15">
        <v>3600</v>
      </c>
    </row>
    <row r="57" spans="1:31" ht="15">
      <c r="A57" s="3" t="s">
        <v>142</v>
      </c>
      <c r="B57" s="3" t="s">
        <v>130</v>
      </c>
      <c r="AE57" s="15">
        <v>3200</v>
      </c>
    </row>
    <row r="58" spans="1:31" ht="15">
      <c r="A58" s="3" t="s">
        <v>142</v>
      </c>
      <c r="B58" s="3" t="s">
        <v>131</v>
      </c>
      <c r="AE58" s="15">
        <v>3700</v>
      </c>
    </row>
    <row r="59" spans="1:31" ht="15">
      <c r="A59" s="3" t="s">
        <v>142</v>
      </c>
      <c r="B59" s="3" t="s">
        <v>132</v>
      </c>
      <c r="AE59" s="15">
        <v>3900</v>
      </c>
    </row>
    <row r="60" spans="1:31" ht="15">
      <c r="A60" s="3" t="s">
        <v>142</v>
      </c>
      <c r="B60" s="3" t="s">
        <v>133</v>
      </c>
      <c r="AE60" s="15">
        <v>3400</v>
      </c>
    </row>
    <row r="61" spans="1:31" ht="15">
      <c r="A61" s="3" t="s">
        <v>142</v>
      </c>
      <c r="B61" s="3" t="s">
        <v>134</v>
      </c>
      <c r="AE61" s="15">
        <v>3200</v>
      </c>
    </row>
    <row r="62" spans="1:31" ht="15">
      <c r="A62" s="3" t="s">
        <v>142</v>
      </c>
      <c r="B62" s="3" t="s">
        <v>135</v>
      </c>
      <c r="AE62" s="15">
        <v>3800</v>
      </c>
    </row>
    <row r="63" spans="1:48" ht="15">
      <c r="A63" s="3" t="s">
        <v>143</v>
      </c>
      <c r="B63" s="3" t="s">
        <v>2</v>
      </c>
      <c r="C63" s="95">
        <v>1</v>
      </c>
      <c r="D63" s="5">
        <v>95.7</v>
      </c>
      <c r="Y63" s="5" t="s">
        <v>42</v>
      </c>
      <c r="AE63" s="15"/>
      <c r="AF63" s="15" t="s">
        <v>7</v>
      </c>
      <c r="AG63" s="11">
        <v>3.4</v>
      </c>
      <c r="AH63" s="33">
        <v>0.017</v>
      </c>
      <c r="AI63" s="11">
        <v>1.8</v>
      </c>
      <c r="AJ63" s="11">
        <v>0.44</v>
      </c>
      <c r="AK63" s="11">
        <v>1.4</v>
      </c>
      <c r="AL63" s="15" t="s">
        <v>7</v>
      </c>
      <c r="AM63" s="33">
        <v>1.3</v>
      </c>
      <c r="AN63" s="33">
        <v>0.048</v>
      </c>
      <c r="AO63" s="14">
        <v>19</v>
      </c>
      <c r="AP63" s="15" t="s">
        <v>7</v>
      </c>
      <c r="AQ63" s="11">
        <v>1.5</v>
      </c>
      <c r="AR63" s="15" t="s">
        <v>3</v>
      </c>
      <c r="AS63" s="15" t="s">
        <v>7</v>
      </c>
      <c r="AT63" s="15" t="s">
        <v>7</v>
      </c>
      <c r="AU63" s="15" t="s">
        <v>7</v>
      </c>
      <c r="AV63" s="15">
        <v>780</v>
      </c>
    </row>
    <row r="64" spans="1:58" ht="15">
      <c r="A64" s="3" t="s">
        <v>143</v>
      </c>
      <c r="B64" s="3" t="s">
        <v>128</v>
      </c>
      <c r="AE64" s="15">
        <v>11</v>
      </c>
      <c r="BF64" s="15"/>
    </row>
    <row r="65" spans="1:58" ht="15">
      <c r="A65" s="3" t="s">
        <v>143</v>
      </c>
      <c r="B65" s="3" t="s">
        <v>129</v>
      </c>
      <c r="AE65" s="15">
        <v>11</v>
      </c>
      <c r="BF65" s="15"/>
    </row>
    <row r="66" spans="1:58" ht="15">
      <c r="A66" s="3" t="s">
        <v>143</v>
      </c>
      <c r="B66" s="3" t="s">
        <v>130</v>
      </c>
      <c r="AE66" s="15">
        <v>14</v>
      </c>
      <c r="BF66" s="15"/>
    </row>
    <row r="67" spans="1:31" ht="15">
      <c r="A67" s="3" t="s">
        <v>143</v>
      </c>
      <c r="B67" s="3" t="s">
        <v>131</v>
      </c>
      <c r="AE67" s="15">
        <v>21</v>
      </c>
    </row>
    <row r="68" spans="1:31" ht="15">
      <c r="A68" s="3" t="s">
        <v>143</v>
      </c>
      <c r="B68" s="3" t="s">
        <v>132</v>
      </c>
      <c r="AE68" s="15">
        <v>14</v>
      </c>
    </row>
    <row r="69" spans="1:31" ht="15">
      <c r="A69" s="3" t="s">
        <v>143</v>
      </c>
      <c r="B69" s="3" t="s">
        <v>133</v>
      </c>
      <c r="AE69" s="15">
        <v>14</v>
      </c>
    </row>
    <row r="70" spans="1:31" ht="15">
      <c r="A70" s="3" t="s">
        <v>143</v>
      </c>
      <c r="B70" s="3" t="s">
        <v>134</v>
      </c>
      <c r="AE70" s="15">
        <v>7.6</v>
      </c>
    </row>
    <row r="71" spans="1:31" ht="15">
      <c r="A71" s="3" t="s">
        <v>143</v>
      </c>
      <c r="B71" s="3" t="s">
        <v>135</v>
      </c>
      <c r="AE71" s="15">
        <v>15</v>
      </c>
    </row>
    <row r="72" spans="1:57" ht="15">
      <c r="A72" s="3" t="s">
        <v>144</v>
      </c>
      <c r="B72" s="3" t="s">
        <v>2</v>
      </c>
      <c r="C72" s="5">
        <v>1.043</v>
      </c>
      <c r="D72" s="5">
        <v>89.4</v>
      </c>
      <c r="H72" s="6">
        <v>3</v>
      </c>
      <c r="I72" s="6">
        <v>3</v>
      </c>
      <c r="J72" s="5">
        <v>6.3</v>
      </c>
      <c r="K72" s="5" t="s">
        <v>3</v>
      </c>
      <c r="L72" s="5" t="s">
        <v>3</v>
      </c>
      <c r="M72" s="5">
        <v>12.3</v>
      </c>
      <c r="Y72" s="5" t="s">
        <v>42</v>
      </c>
      <c r="AE72" s="15"/>
      <c r="AF72" s="15" t="s">
        <v>7</v>
      </c>
      <c r="AG72" s="11">
        <v>0.67</v>
      </c>
      <c r="AH72" s="15" t="s">
        <v>125</v>
      </c>
      <c r="AI72" s="15" t="s">
        <v>7</v>
      </c>
      <c r="AJ72" s="15" t="s">
        <v>125</v>
      </c>
      <c r="AK72" s="14">
        <v>10.4</v>
      </c>
      <c r="AL72" s="15" t="s">
        <v>7</v>
      </c>
      <c r="AM72" s="11">
        <v>1.6</v>
      </c>
      <c r="AN72" s="15" t="s">
        <v>125</v>
      </c>
      <c r="AO72" s="15" t="s">
        <v>7</v>
      </c>
      <c r="AP72" s="15" t="s">
        <v>7</v>
      </c>
      <c r="AQ72" s="15" t="s">
        <v>57</v>
      </c>
      <c r="AR72" s="15" t="s">
        <v>3</v>
      </c>
      <c r="AS72" s="15" t="s">
        <v>7</v>
      </c>
      <c r="AT72" s="15" t="s">
        <v>7</v>
      </c>
      <c r="AU72" s="15" t="s">
        <v>7</v>
      </c>
      <c r="AV72" s="15" t="s">
        <v>126</v>
      </c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31" ht="15">
      <c r="A73" s="3" t="s">
        <v>144</v>
      </c>
      <c r="B73" s="3" t="s">
        <v>128</v>
      </c>
      <c r="AE73" s="15">
        <v>10</v>
      </c>
    </row>
    <row r="74" spans="1:31" ht="15">
      <c r="A74" s="3" t="s">
        <v>144</v>
      </c>
      <c r="B74" s="3" t="s">
        <v>129</v>
      </c>
      <c r="AE74" s="15">
        <v>9.1</v>
      </c>
    </row>
    <row r="75" spans="1:31" ht="15">
      <c r="A75" s="3" t="s">
        <v>144</v>
      </c>
      <c r="B75" s="3" t="s">
        <v>130</v>
      </c>
      <c r="AE75" s="15">
        <v>9.2</v>
      </c>
    </row>
    <row r="76" spans="1:31" ht="15">
      <c r="A76" s="3" t="s">
        <v>144</v>
      </c>
      <c r="B76" s="3" t="s">
        <v>131</v>
      </c>
      <c r="AE76" s="15">
        <v>9.2</v>
      </c>
    </row>
    <row r="77" spans="1:31" ht="15">
      <c r="A77" s="3" t="s">
        <v>144</v>
      </c>
      <c r="B77" s="3" t="s">
        <v>132</v>
      </c>
      <c r="AE77" s="15">
        <v>9.2</v>
      </c>
    </row>
    <row r="78" spans="1:31" ht="15">
      <c r="A78" s="3" t="s">
        <v>144</v>
      </c>
      <c r="B78" s="3" t="s">
        <v>133</v>
      </c>
      <c r="AE78" s="15">
        <v>9.3</v>
      </c>
    </row>
    <row r="79" spans="1:31" ht="15">
      <c r="A79" s="3" t="s">
        <v>144</v>
      </c>
      <c r="B79" s="3" t="s">
        <v>134</v>
      </c>
      <c r="AE79" s="15">
        <v>10</v>
      </c>
    </row>
    <row r="80" spans="1:31" ht="15">
      <c r="A80" s="3" t="s">
        <v>144</v>
      </c>
      <c r="B80" s="3" t="s">
        <v>135</v>
      </c>
      <c r="AE80" s="14">
        <v>9</v>
      </c>
    </row>
    <row r="81" spans="1:99" ht="15">
      <c r="A81" s="8" t="s">
        <v>115</v>
      </c>
      <c r="B81" s="19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2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</row>
    <row r="82" spans="1:99" ht="15">
      <c r="A82" s="3" t="s">
        <v>145</v>
      </c>
      <c r="B82" s="3" t="s">
        <v>2</v>
      </c>
      <c r="D82" s="5">
        <v>69.4</v>
      </c>
      <c r="E82" s="5">
        <v>0.4</v>
      </c>
      <c r="F82" s="5">
        <v>3.7</v>
      </c>
      <c r="G82" s="15">
        <v>21.52</v>
      </c>
      <c r="N82" s="15">
        <v>1.6</v>
      </c>
      <c r="O82" s="5">
        <v>0.5</v>
      </c>
      <c r="S82" s="5">
        <v>0.05</v>
      </c>
      <c r="T82" s="5" t="s">
        <v>6</v>
      </c>
      <c r="U82" s="5" t="s">
        <v>7</v>
      </c>
      <c r="V82" s="5">
        <v>0.074</v>
      </c>
      <c r="W82" s="5" t="s">
        <v>6</v>
      </c>
      <c r="X82" s="5">
        <v>1.39</v>
      </c>
      <c r="Y82" s="5" t="s">
        <v>42</v>
      </c>
      <c r="AA82" s="5" t="s">
        <v>5</v>
      </c>
      <c r="AB82" s="5" t="s">
        <v>5</v>
      </c>
      <c r="AC82" s="5" t="s">
        <v>5</v>
      </c>
      <c r="AD82" s="5" t="s">
        <v>5</v>
      </c>
      <c r="AF82" s="15">
        <f>0.041/10*1000</f>
        <v>4.1000000000000005</v>
      </c>
      <c r="AG82" s="15">
        <f>88/10</f>
        <v>8.8</v>
      </c>
      <c r="AH82" s="15">
        <f>0.69/10</f>
        <v>0.06899999999999999</v>
      </c>
      <c r="AI82" s="15">
        <f>0.042/10*1000</f>
        <v>4.2</v>
      </c>
      <c r="AJ82" s="15">
        <f>3.6/10</f>
        <v>0.36</v>
      </c>
      <c r="AK82" s="15">
        <f>540/10</f>
        <v>54</v>
      </c>
      <c r="AL82" s="15">
        <f>0.022/10*1000</f>
        <v>2.1999999999999997</v>
      </c>
      <c r="AM82" s="15">
        <f>1700/10</f>
        <v>170</v>
      </c>
      <c r="AN82" s="15">
        <f>3.1/10</f>
        <v>0.31</v>
      </c>
      <c r="AO82" s="15">
        <f>400/10</f>
        <v>40</v>
      </c>
      <c r="AP82" s="15">
        <f>0.1/10*1000</f>
        <v>10</v>
      </c>
      <c r="AQ82" s="15">
        <f>210/10</f>
        <v>21</v>
      </c>
      <c r="AR82" s="15">
        <f>7.7/10</f>
        <v>0.77</v>
      </c>
      <c r="AS82" s="15">
        <f>0.022/10*1000</f>
        <v>2.1999999999999997</v>
      </c>
      <c r="AT82" s="15" t="s">
        <v>7</v>
      </c>
      <c r="AU82" s="15" t="s">
        <v>7</v>
      </c>
      <c r="AV82" s="15">
        <f>1.5/10*1000</f>
        <v>150</v>
      </c>
      <c r="AW82" s="15">
        <f>0.508*100</f>
        <v>50.8</v>
      </c>
      <c r="AX82" s="15" t="s">
        <v>5</v>
      </c>
      <c r="AY82" s="15">
        <v>0.2</v>
      </c>
      <c r="AZ82" s="15" t="s">
        <v>5</v>
      </c>
      <c r="BA82" s="15" t="s">
        <v>5</v>
      </c>
      <c r="BB82" s="15" t="s">
        <v>5</v>
      </c>
      <c r="BC82" s="15">
        <v>0.2</v>
      </c>
      <c r="BD82" s="15" t="s">
        <v>5</v>
      </c>
      <c r="BE82" s="15">
        <v>0.1</v>
      </c>
      <c r="BF82" s="15">
        <v>0.2</v>
      </c>
      <c r="BG82" s="15" t="s">
        <v>5</v>
      </c>
      <c r="BH82" s="15" t="s">
        <v>5</v>
      </c>
      <c r="BI82" s="15" t="s">
        <v>5</v>
      </c>
      <c r="BJ82" s="15" t="s">
        <v>5</v>
      </c>
      <c r="BK82" s="15">
        <v>0.1</v>
      </c>
      <c r="BL82" s="15">
        <v>0.1</v>
      </c>
      <c r="BM82" s="15">
        <v>21.3</v>
      </c>
      <c r="BN82" s="15">
        <v>0.1</v>
      </c>
      <c r="BO82" s="15">
        <v>1.8</v>
      </c>
      <c r="BP82" s="15">
        <v>0.6</v>
      </c>
      <c r="BQ82" s="15">
        <v>0.7</v>
      </c>
      <c r="BR82" s="15">
        <v>0.4</v>
      </c>
      <c r="BS82" s="15" t="s">
        <v>5</v>
      </c>
      <c r="BT82" s="15">
        <v>0.3</v>
      </c>
      <c r="BU82" s="15" t="s">
        <v>5</v>
      </c>
      <c r="BV82" s="15">
        <v>23</v>
      </c>
      <c r="BW82" s="15">
        <v>1.4</v>
      </c>
      <c r="BX82" s="15">
        <v>0.2</v>
      </c>
      <c r="BY82" s="15">
        <v>0.4</v>
      </c>
      <c r="BZ82" s="15">
        <v>45.3</v>
      </c>
      <c r="CA82" s="15" t="s">
        <v>5</v>
      </c>
      <c r="CB82" s="15">
        <v>3.6</v>
      </c>
      <c r="CC82" s="15">
        <v>0.1</v>
      </c>
      <c r="CD82" s="15" t="s">
        <v>5</v>
      </c>
      <c r="CE82" s="15" t="s">
        <v>5</v>
      </c>
      <c r="CF82" s="15" t="s">
        <v>5</v>
      </c>
      <c r="CG82" s="15" t="s">
        <v>5</v>
      </c>
      <c r="CH82" s="15" t="s">
        <v>5</v>
      </c>
      <c r="CI82" s="15" t="s">
        <v>5</v>
      </c>
      <c r="CJ82" s="15" t="s">
        <v>5</v>
      </c>
      <c r="CK82" s="15" t="s">
        <v>5</v>
      </c>
      <c r="CL82" s="15" t="s">
        <v>5</v>
      </c>
      <c r="CM82" s="15" t="s">
        <v>5</v>
      </c>
      <c r="CN82" s="15" t="s">
        <v>5</v>
      </c>
      <c r="CO82" s="15" t="s">
        <v>5</v>
      </c>
      <c r="CP82" s="15" t="s">
        <v>5</v>
      </c>
      <c r="CQ82" s="15" t="s">
        <v>5</v>
      </c>
      <c r="CR82" s="15" t="s">
        <v>5</v>
      </c>
      <c r="CS82" s="15" t="s">
        <v>5</v>
      </c>
      <c r="CT82" s="15" t="s">
        <v>5</v>
      </c>
      <c r="CU82" s="15" t="s">
        <v>5</v>
      </c>
    </row>
    <row r="83" spans="1:99" ht="15">
      <c r="A83" s="3" t="s">
        <v>146</v>
      </c>
      <c r="B83" s="3" t="s">
        <v>2</v>
      </c>
      <c r="D83" s="5">
        <v>68.2</v>
      </c>
      <c r="E83" s="5" t="s">
        <v>3</v>
      </c>
      <c r="F83" s="5">
        <v>2.7</v>
      </c>
      <c r="G83" s="15">
        <v>26.01</v>
      </c>
      <c r="N83" s="15">
        <v>0.8</v>
      </c>
      <c r="O83" s="5">
        <v>0.3</v>
      </c>
      <c r="S83" s="5" t="s">
        <v>6</v>
      </c>
      <c r="T83" s="5" t="s">
        <v>6</v>
      </c>
      <c r="U83" s="5" t="s">
        <v>7</v>
      </c>
      <c r="V83" s="5" t="s">
        <v>45</v>
      </c>
      <c r="W83" s="5" t="s">
        <v>6</v>
      </c>
      <c r="X83" s="5">
        <v>0.29</v>
      </c>
      <c r="Y83" s="5" t="s">
        <v>42</v>
      </c>
      <c r="AA83" s="5" t="s">
        <v>5</v>
      </c>
      <c r="AB83" s="5" t="s">
        <v>5</v>
      </c>
      <c r="AC83" s="5" t="s">
        <v>5</v>
      </c>
      <c r="AD83" s="5" t="s">
        <v>5</v>
      </c>
      <c r="AE83" s="15"/>
      <c r="AF83" s="15">
        <f>0.037/10*1000</f>
        <v>3.6999999999999997</v>
      </c>
      <c r="AG83" s="15">
        <f>58/10</f>
        <v>5.8</v>
      </c>
      <c r="AH83" s="11">
        <f>0.5/10</f>
        <v>0.05</v>
      </c>
      <c r="AI83" s="15" t="s">
        <v>7</v>
      </c>
      <c r="AJ83" s="15">
        <f>1.8/10</f>
        <v>0.18</v>
      </c>
      <c r="AK83" s="15">
        <f>250/10</f>
        <v>25</v>
      </c>
      <c r="AL83" s="15" t="s">
        <v>7</v>
      </c>
      <c r="AM83" s="15">
        <f>32/10</f>
        <v>3.2</v>
      </c>
      <c r="AN83" s="15">
        <f>3.7/10</f>
        <v>0.37</v>
      </c>
      <c r="AO83" s="15">
        <f>69/10</f>
        <v>6.9</v>
      </c>
      <c r="AP83" s="15">
        <f>0.089/10*1000</f>
        <v>8.9</v>
      </c>
      <c r="AQ83" s="15">
        <f>44/10</f>
        <v>4.4</v>
      </c>
      <c r="AR83" s="15">
        <f>2.1/10</f>
        <v>0.21000000000000002</v>
      </c>
      <c r="AS83" s="15">
        <f>0.029/10*1000</f>
        <v>2.9000000000000004</v>
      </c>
      <c r="AT83" s="15">
        <f>0.016/10*1000</f>
        <v>1.6</v>
      </c>
      <c r="AU83" s="15">
        <f>0.021/10*1000</f>
        <v>2.1</v>
      </c>
      <c r="AV83" s="15" t="s">
        <v>126</v>
      </c>
      <c r="AW83" s="15">
        <f>0.363*100</f>
        <v>36.3</v>
      </c>
      <c r="AX83" s="15" t="s">
        <v>5</v>
      </c>
      <c r="AY83" s="15" t="s">
        <v>5</v>
      </c>
      <c r="AZ83" s="15" t="s">
        <v>5</v>
      </c>
      <c r="BA83" s="15" t="s">
        <v>5</v>
      </c>
      <c r="BB83" s="15" t="s">
        <v>5</v>
      </c>
      <c r="BC83" s="15" t="s">
        <v>5</v>
      </c>
      <c r="BD83" s="15" t="s">
        <v>5</v>
      </c>
      <c r="BE83" s="15" t="s">
        <v>5</v>
      </c>
      <c r="BF83" s="15" t="s">
        <v>5</v>
      </c>
      <c r="BG83" s="15" t="s">
        <v>5</v>
      </c>
      <c r="BH83" s="15" t="s">
        <v>5</v>
      </c>
      <c r="BI83" s="15" t="s">
        <v>5</v>
      </c>
      <c r="BJ83" s="15" t="s">
        <v>5</v>
      </c>
      <c r="BK83" s="15" t="s">
        <v>5</v>
      </c>
      <c r="BL83" s="15" t="s">
        <v>5</v>
      </c>
      <c r="BM83" s="15" t="s">
        <v>5</v>
      </c>
      <c r="BN83" s="15" t="s">
        <v>5</v>
      </c>
      <c r="BO83" s="15" t="s">
        <v>5</v>
      </c>
      <c r="BP83" s="15" t="s">
        <v>5</v>
      </c>
      <c r="BQ83" s="15" t="s">
        <v>5</v>
      </c>
      <c r="BR83" s="15" t="s">
        <v>5</v>
      </c>
      <c r="BS83" s="15" t="s">
        <v>5</v>
      </c>
      <c r="BT83" s="15" t="s">
        <v>5</v>
      </c>
      <c r="BU83" s="15" t="s">
        <v>5</v>
      </c>
      <c r="BV83" s="15" t="s">
        <v>5</v>
      </c>
      <c r="BW83" s="15" t="s">
        <v>5</v>
      </c>
      <c r="BX83" s="15" t="s">
        <v>5</v>
      </c>
      <c r="BY83" s="15" t="s">
        <v>5</v>
      </c>
      <c r="BZ83" s="15" t="s">
        <v>5</v>
      </c>
      <c r="CA83" s="15" t="s">
        <v>5</v>
      </c>
      <c r="CB83" s="15" t="s">
        <v>5</v>
      </c>
      <c r="CC83" s="15" t="s">
        <v>5</v>
      </c>
      <c r="CD83" s="15" t="s">
        <v>5</v>
      </c>
      <c r="CE83" s="15" t="s">
        <v>5</v>
      </c>
      <c r="CF83" s="15" t="s">
        <v>5</v>
      </c>
      <c r="CG83" s="15" t="s">
        <v>5</v>
      </c>
      <c r="CH83" s="15" t="s">
        <v>5</v>
      </c>
      <c r="CI83" s="15" t="s">
        <v>5</v>
      </c>
      <c r="CJ83" s="15" t="s">
        <v>5</v>
      </c>
      <c r="CK83" s="15" t="s">
        <v>5</v>
      </c>
      <c r="CL83" s="15" t="s">
        <v>5</v>
      </c>
      <c r="CM83" s="15" t="s">
        <v>5</v>
      </c>
      <c r="CN83" s="15" t="s">
        <v>5</v>
      </c>
      <c r="CO83" s="15" t="s">
        <v>5</v>
      </c>
      <c r="CP83" s="15" t="s">
        <v>5</v>
      </c>
      <c r="CQ83" s="15" t="s">
        <v>5</v>
      </c>
      <c r="CR83" s="15" t="s">
        <v>5</v>
      </c>
      <c r="CS83" s="15" t="s">
        <v>5</v>
      </c>
      <c r="CT83" s="15" t="s">
        <v>5</v>
      </c>
      <c r="CU83" s="15" t="s">
        <v>5</v>
      </c>
    </row>
    <row r="84" spans="1:4" ht="15">
      <c r="A84" s="3" t="s">
        <v>147</v>
      </c>
      <c r="B84" s="3" t="s">
        <v>2</v>
      </c>
      <c r="D84" s="5">
        <v>5.6</v>
      </c>
    </row>
    <row r="85" spans="1:99" ht="15">
      <c r="A85" s="27" t="s">
        <v>148</v>
      </c>
      <c r="B85" s="27" t="s">
        <v>2</v>
      </c>
      <c r="C85" s="26"/>
      <c r="D85" s="26">
        <v>67</v>
      </c>
      <c r="E85" s="26">
        <v>6.2</v>
      </c>
      <c r="F85" s="26">
        <v>3.9</v>
      </c>
      <c r="G85" s="25">
        <v>17.27</v>
      </c>
      <c r="H85" s="26" t="s">
        <v>3</v>
      </c>
      <c r="I85" s="26" t="s">
        <v>3</v>
      </c>
      <c r="J85" s="26">
        <v>0.3</v>
      </c>
      <c r="K85" s="26" t="s">
        <v>3</v>
      </c>
      <c r="L85" s="26" t="s">
        <v>3</v>
      </c>
      <c r="M85" s="26" t="s">
        <v>7</v>
      </c>
      <c r="N85" s="25">
        <v>1.2</v>
      </c>
      <c r="O85" s="24">
        <v>1</v>
      </c>
      <c r="P85" s="26"/>
      <c r="Q85" s="26"/>
      <c r="R85" s="26"/>
      <c r="S85" s="26">
        <v>0.06</v>
      </c>
      <c r="T85" s="26">
        <v>0.13</v>
      </c>
      <c r="U85" s="26" t="s">
        <v>7</v>
      </c>
      <c r="V85" s="26">
        <v>0.042</v>
      </c>
      <c r="W85" s="26" t="s">
        <v>6</v>
      </c>
      <c r="X85" s="26">
        <v>0.38</v>
      </c>
      <c r="Y85" s="26" t="s">
        <v>42</v>
      </c>
      <c r="Z85" s="26"/>
      <c r="AA85" s="23">
        <v>0.4</v>
      </c>
      <c r="AB85" s="26" t="s">
        <v>5</v>
      </c>
      <c r="AC85" s="26" t="s">
        <v>5</v>
      </c>
      <c r="AD85" s="23">
        <v>0.2</v>
      </c>
      <c r="AE85" s="26"/>
      <c r="AF85" s="25">
        <f>0.14/10*1000</f>
        <v>14.000000000000002</v>
      </c>
      <c r="AG85" s="25">
        <f>92/10</f>
        <v>9.2</v>
      </c>
      <c r="AH85" s="25">
        <f>0.53/10</f>
        <v>0.053000000000000005</v>
      </c>
      <c r="AI85" s="25">
        <f>0.018/10*1000</f>
        <v>1.8</v>
      </c>
      <c r="AJ85" s="25">
        <f>2.5/10</f>
        <v>0.25</v>
      </c>
      <c r="AK85" s="25">
        <f>470/10</f>
        <v>47</v>
      </c>
      <c r="AL85" s="25">
        <f>0.032/10*1000</f>
        <v>3.2</v>
      </c>
      <c r="AM85" s="25">
        <f>3600/10</f>
        <v>360</v>
      </c>
      <c r="AN85" s="25">
        <f>3.3/10</f>
        <v>0.32999999999999996</v>
      </c>
      <c r="AO85" s="25">
        <f>740/10</f>
        <v>74</v>
      </c>
      <c r="AP85" s="25">
        <f>0.036/10*1000</f>
        <v>3.6</v>
      </c>
      <c r="AQ85" s="25">
        <f>100/10</f>
        <v>10</v>
      </c>
      <c r="AR85" s="22">
        <f>8/10</f>
        <v>0.8</v>
      </c>
      <c r="AS85" s="25">
        <f>0.017/10*1000</f>
        <v>1.7000000000000002</v>
      </c>
      <c r="AT85" s="25" t="s">
        <v>7</v>
      </c>
      <c r="AU85" s="25" t="s">
        <v>7</v>
      </c>
      <c r="AV85" s="25">
        <f>1.2/10*1000</f>
        <v>120</v>
      </c>
      <c r="AW85" s="25">
        <f>0.375*100</f>
        <v>37.5</v>
      </c>
      <c r="AX85" s="25" t="s">
        <v>5</v>
      </c>
      <c r="AY85" s="25">
        <v>0.7</v>
      </c>
      <c r="AZ85" s="25" t="s">
        <v>5</v>
      </c>
      <c r="BA85" s="25" t="s">
        <v>5</v>
      </c>
      <c r="BB85" s="25" t="s">
        <v>5</v>
      </c>
      <c r="BC85" s="25">
        <v>0.7</v>
      </c>
      <c r="BD85" s="25">
        <v>2.3</v>
      </c>
      <c r="BE85" s="25">
        <v>2.8</v>
      </c>
      <c r="BF85" s="25" t="s">
        <v>5</v>
      </c>
      <c r="BG85" s="25" t="s">
        <v>5</v>
      </c>
      <c r="BH85" s="25" t="s">
        <v>5</v>
      </c>
      <c r="BI85" s="25" t="s">
        <v>5</v>
      </c>
      <c r="BJ85" s="25">
        <v>0.3</v>
      </c>
      <c r="BK85" s="25">
        <v>0.9</v>
      </c>
      <c r="BL85" s="25" t="s">
        <v>5</v>
      </c>
      <c r="BM85" s="25">
        <v>41.3</v>
      </c>
      <c r="BN85" s="25">
        <v>0.1</v>
      </c>
      <c r="BO85" s="25">
        <v>4.5</v>
      </c>
      <c r="BP85" s="25">
        <v>0.4</v>
      </c>
      <c r="BQ85" s="25" t="s">
        <v>5</v>
      </c>
      <c r="BR85" s="25" t="s">
        <v>5</v>
      </c>
      <c r="BS85" s="25" t="s">
        <v>5</v>
      </c>
      <c r="BT85" s="25">
        <v>0.2</v>
      </c>
      <c r="BU85" s="25" t="s">
        <v>5</v>
      </c>
      <c r="BV85" s="25">
        <v>38.9</v>
      </c>
      <c r="BW85" s="25">
        <v>0.2</v>
      </c>
      <c r="BX85" s="25" t="s">
        <v>5</v>
      </c>
      <c r="BY85" s="25" t="s">
        <v>5</v>
      </c>
      <c r="BZ85" s="25">
        <v>12.1</v>
      </c>
      <c r="CA85" s="25" t="s">
        <v>5</v>
      </c>
      <c r="CB85" s="25">
        <v>0.3</v>
      </c>
      <c r="CC85" s="25" t="s">
        <v>5</v>
      </c>
      <c r="CD85" s="25" t="s">
        <v>5</v>
      </c>
      <c r="CE85" s="25" t="s">
        <v>5</v>
      </c>
      <c r="CF85" s="25" t="s">
        <v>5</v>
      </c>
      <c r="CG85" s="25" t="s">
        <v>5</v>
      </c>
      <c r="CH85" s="25" t="s">
        <v>5</v>
      </c>
      <c r="CI85" s="25" t="s">
        <v>5</v>
      </c>
      <c r="CJ85" s="25" t="s">
        <v>5</v>
      </c>
      <c r="CK85" s="25" t="s">
        <v>5</v>
      </c>
      <c r="CL85" s="25" t="s">
        <v>5</v>
      </c>
      <c r="CM85" s="25" t="s">
        <v>5</v>
      </c>
      <c r="CN85" s="25" t="s">
        <v>5</v>
      </c>
      <c r="CO85" s="25" t="s">
        <v>5</v>
      </c>
      <c r="CP85" s="25">
        <v>0.2</v>
      </c>
      <c r="CQ85" s="25">
        <v>0.1</v>
      </c>
      <c r="CR85" s="25" t="s">
        <v>5</v>
      </c>
      <c r="CS85" s="25" t="s">
        <v>5</v>
      </c>
      <c r="CT85" s="25" t="s">
        <v>5</v>
      </c>
      <c r="CU85" s="25" t="s">
        <v>5</v>
      </c>
    </row>
  </sheetData>
  <sheetProtection/>
  <printOptions/>
  <pageMargins left="0.1968503937007874" right="0.11811023622047245" top="0.15748031496062992" bottom="0.15748031496062992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5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B48" sqref="BB48"/>
    </sheetView>
  </sheetViews>
  <sheetFormatPr defaultColWidth="9.140625" defaultRowHeight="12.75"/>
  <cols>
    <col min="1" max="1" width="54.28125" style="44" customWidth="1"/>
    <col min="2" max="2" width="14.7109375" style="44" customWidth="1"/>
    <col min="3" max="3" width="10.7109375" style="45" customWidth="1"/>
    <col min="4" max="4" width="11.57421875" style="45" customWidth="1"/>
    <col min="5" max="5" width="11.7109375" style="45" customWidth="1"/>
    <col min="6" max="6" width="9.140625" style="45" customWidth="1"/>
    <col min="7" max="8" width="10.00390625" style="45" customWidth="1"/>
    <col min="9" max="9" width="10.57421875" style="45" customWidth="1"/>
    <col min="10" max="10" width="11.57421875" style="45" customWidth="1"/>
    <col min="11" max="11" width="10.57421875" style="45" customWidth="1"/>
    <col min="12" max="12" width="12.28125" style="45" customWidth="1"/>
    <col min="13" max="13" width="10.57421875" style="45" customWidth="1"/>
    <col min="14" max="14" width="10.140625" style="45" customWidth="1"/>
    <col min="15" max="15" width="14.140625" style="45" customWidth="1"/>
    <col min="16" max="17" width="19.8515625" style="45" customWidth="1"/>
    <col min="18" max="18" width="17.8515625" style="45" customWidth="1"/>
    <col min="19" max="19" width="14.7109375" style="45" customWidth="1"/>
    <col min="20" max="20" width="12.7109375" style="45" customWidth="1"/>
    <col min="21" max="21" width="15.28125" style="45" customWidth="1"/>
    <col min="22" max="22" width="11.7109375" style="45" customWidth="1"/>
    <col min="23" max="23" width="19.7109375" style="45" customWidth="1"/>
    <col min="24" max="24" width="15.140625" style="45" customWidth="1"/>
    <col min="25" max="25" width="15.421875" style="45" customWidth="1"/>
    <col min="26" max="26" width="16.00390625" style="45" customWidth="1"/>
    <col min="27" max="27" width="12.28125" style="45" customWidth="1"/>
    <col min="28" max="28" width="18.57421875" style="45" customWidth="1"/>
    <col min="29" max="29" width="17.57421875" style="45" customWidth="1"/>
    <col min="30" max="30" width="22.140625" style="45" customWidth="1"/>
    <col min="31" max="31" width="22.421875" style="45" customWidth="1"/>
    <col min="32" max="32" width="18.421875" style="45" customWidth="1"/>
    <col min="33" max="33" width="19.140625" style="45" customWidth="1"/>
    <col min="34" max="34" width="18.00390625" style="45" customWidth="1"/>
    <col min="35" max="35" width="19.421875" style="45" customWidth="1"/>
    <col min="36" max="36" width="13.28125" style="45" customWidth="1"/>
    <col min="37" max="37" width="12.28125" style="45" customWidth="1"/>
    <col min="38" max="38" width="13.00390625" style="45" customWidth="1"/>
    <col min="39" max="40" width="12.421875" style="45" customWidth="1"/>
    <col min="41" max="41" width="15.00390625" style="45" customWidth="1"/>
    <col min="42" max="42" width="13.140625" style="45" customWidth="1"/>
    <col min="43" max="43" width="14.8515625" style="45" customWidth="1"/>
    <col min="44" max="44" width="9.140625" style="45" customWidth="1"/>
    <col min="45" max="45" width="12.140625" style="45" customWidth="1"/>
    <col min="46" max="46" width="9.140625" style="45" customWidth="1"/>
    <col min="47" max="47" width="15.28125" style="45" customWidth="1"/>
    <col min="48" max="48" width="9.140625" style="45" customWidth="1"/>
    <col min="49" max="49" width="15.00390625" style="45" customWidth="1"/>
    <col min="50" max="50" width="15.140625" style="45" customWidth="1"/>
    <col min="51" max="51" width="13.7109375" style="45" customWidth="1"/>
    <col min="52" max="52" width="15.7109375" style="45" customWidth="1"/>
    <col min="53" max="53" width="11.140625" style="45" customWidth="1"/>
    <col min="54" max="54" width="12.7109375" style="45" customWidth="1"/>
    <col min="55" max="55" width="12.00390625" style="45" customWidth="1"/>
    <col min="56" max="56" width="13.28125" style="45" customWidth="1"/>
    <col min="57" max="57" width="12.57421875" style="45" customWidth="1"/>
    <col min="58" max="58" width="11.57421875" style="45" customWidth="1"/>
    <col min="59" max="61" width="13.421875" style="45" customWidth="1"/>
    <col min="62" max="62" width="18.28125" style="45" customWidth="1"/>
    <col min="63" max="63" width="13.421875" style="45" customWidth="1"/>
    <col min="64" max="64" width="15.8515625" style="45" customWidth="1"/>
    <col min="65" max="65" width="19.00390625" style="45" customWidth="1"/>
    <col min="66" max="66" width="13.421875" style="45" customWidth="1"/>
    <col min="67" max="67" width="21.00390625" style="45" customWidth="1"/>
    <col min="68" max="68" width="13.421875" style="45" customWidth="1"/>
    <col min="69" max="100" width="9.140625" style="45" customWidth="1"/>
    <col min="101" max="102" width="14.8515625" style="45" customWidth="1"/>
    <col min="103" max="110" width="19.28125" style="45" customWidth="1"/>
    <col min="111" max="111" width="9.140625" style="45" customWidth="1"/>
    <col min="112" max="16384" width="9.140625" style="44" customWidth="1"/>
  </cols>
  <sheetData>
    <row r="1" spans="1:111" s="34" customFormat="1" ht="15">
      <c r="A1" s="34" t="s">
        <v>149</v>
      </c>
      <c r="C1" s="35" t="s">
        <v>12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 t="s">
        <v>0</v>
      </c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 t="s">
        <v>1</v>
      </c>
      <c r="AK1" s="35" t="s">
        <v>150</v>
      </c>
      <c r="AL1" s="35"/>
      <c r="AM1" s="35"/>
      <c r="AN1" s="35"/>
      <c r="AO1" s="35"/>
      <c r="AP1" s="35" t="s">
        <v>151</v>
      </c>
      <c r="AQ1" s="35" t="s">
        <v>46</v>
      </c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2" t="s">
        <v>116</v>
      </c>
      <c r="BJ1" s="32"/>
      <c r="BK1" s="32"/>
      <c r="BL1" s="32"/>
      <c r="BM1" s="32"/>
      <c r="BN1" s="32"/>
      <c r="BO1" s="32"/>
      <c r="BP1" s="32"/>
      <c r="BQ1" s="35" t="s">
        <v>59</v>
      </c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6" t="s">
        <v>102</v>
      </c>
      <c r="CE1" s="35"/>
      <c r="CF1" s="35"/>
      <c r="CG1" s="35"/>
      <c r="CH1" s="35"/>
      <c r="CI1" s="35"/>
      <c r="CJ1" s="35"/>
      <c r="CK1" s="37" t="s">
        <v>103</v>
      </c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6" t="s">
        <v>152</v>
      </c>
      <c r="CX1" s="35"/>
      <c r="CY1" s="35"/>
      <c r="CZ1" s="35"/>
      <c r="DA1" s="35"/>
      <c r="DB1" s="35"/>
      <c r="DC1" s="35"/>
      <c r="DD1" s="35"/>
      <c r="DE1" s="35"/>
      <c r="DF1" s="35"/>
      <c r="DG1" s="35"/>
    </row>
    <row r="2" spans="1:111" s="38" customFormat="1" ht="45">
      <c r="A2" s="34" t="s">
        <v>9</v>
      </c>
      <c r="B2" s="39" t="s">
        <v>10</v>
      </c>
      <c r="C2" s="35" t="s">
        <v>22</v>
      </c>
      <c r="D2" s="35" t="s">
        <v>23</v>
      </c>
      <c r="E2" s="35" t="s">
        <v>24</v>
      </c>
      <c r="F2" s="35" t="s">
        <v>26</v>
      </c>
      <c r="G2" s="35" t="s">
        <v>16</v>
      </c>
      <c r="H2" s="35" t="s">
        <v>17</v>
      </c>
      <c r="I2" s="35" t="s">
        <v>18</v>
      </c>
      <c r="J2" s="35" t="s">
        <v>19</v>
      </c>
      <c r="K2" s="35" t="s">
        <v>20</v>
      </c>
      <c r="L2" s="35" t="s">
        <v>21</v>
      </c>
      <c r="M2" s="35" t="s">
        <v>27</v>
      </c>
      <c r="N2" s="35" t="s">
        <v>25</v>
      </c>
      <c r="O2" s="35" t="s">
        <v>153</v>
      </c>
      <c r="P2" s="4" t="s">
        <v>29</v>
      </c>
      <c r="Q2" s="4" t="s">
        <v>30</v>
      </c>
      <c r="R2" s="4" t="s">
        <v>31</v>
      </c>
      <c r="S2" s="35" t="s">
        <v>154</v>
      </c>
      <c r="T2" s="35" t="s">
        <v>155</v>
      </c>
      <c r="U2" s="35" t="s">
        <v>156</v>
      </c>
      <c r="V2" s="35" t="s">
        <v>157</v>
      </c>
      <c r="W2" s="35" t="s">
        <v>158</v>
      </c>
      <c r="X2" s="35" t="s">
        <v>159</v>
      </c>
      <c r="Y2" s="35" t="s">
        <v>41</v>
      </c>
      <c r="Z2" s="35" t="s">
        <v>160</v>
      </c>
      <c r="AA2" s="35" t="s">
        <v>28</v>
      </c>
      <c r="AB2" s="35" t="s">
        <v>161</v>
      </c>
      <c r="AC2" s="35" t="s">
        <v>162</v>
      </c>
      <c r="AD2" s="35" t="s">
        <v>163</v>
      </c>
      <c r="AE2" s="35" t="s">
        <v>164</v>
      </c>
      <c r="AF2" s="35" t="s">
        <v>32</v>
      </c>
      <c r="AG2" s="35" t="s">
        <v>33</v>
      </c>
      <c r="AH2" s="35" t="s">
        <v>34</v>
      </c>
      <c r="AI2" s="35" t="s">
        <v>35</v>
      </c>
      <c r="AJ2" s="35" t="s">
        <v>47</v>
      </c>
      <c r="AK2" s="35" t="s">
        <v>165</v>
      </c>
      <c r="AL2" s="35" t="s">
        <v>166</v>
      </c>
      <c r="AM2" s="35" t="s">
        <v>167</v>
      </c>
      <c r="AN2" s="35" t="s">
        <v>168</v>
      </c>
      <c r="AO2" s="35" t="s">
        <v>169</v>
      </c>
      <c r="AP2" s="35" t="s">
        <v>44</v>
      </c>
      <c r="AQ2" s="35" t="s">
        <v>117</v>
      </c>
      <c r="AR2" s="35" t="s">
        <v>170</v>
      </c>
      <c r="AS2" s="35" t="s">
        <v>118</v>
      </c>
      <c r="AT2" s="35" t="s">
        <v>53</v>
      </c>
      <c r="AU2" s="35" t="s">
        <v>51</v>
      </c>
      <c r="AV2" s="35" t="s">
        <v>56</v>
      </c>
      <c r="AW2" s="35" t="s">
        <v>54</v>
      </c>
      <c r="AX2" s="35" t="s">
        <v>55</v>
      </c>
      <c r="AY2" s="35" t="s">
        <v>50</v>
      </c>
      <c r="AZ2" s="35" t="s">
        <v>119</v>
      </c>
      <c r="BA2" s="35" t="s">
        <v>52</v>
      </c>
      <c r="BB2" s="35" t="s">
        <v>49</v>
      </c>
      <c r="BC2" s="35" t="s">
        <v>121</v>
      </c>
      <c r="BD2" s="35" t="s">
        <v>120</v>
      </c>
      <c r="BE2" s="35" t="s">
        <v>171</v>
      </c>
      <c r="BF2" s="35" t="s">
        <v>122</v>
      </c>
      <c r="BG2" s="35" t="s">
        <v>123</v>
      </c>
      <c r="BH2" s="35" t="s">
        <v>172</v>
      </c>
      <c r="BI2" s="35" t="s">
        <v>105</v>
      </c>
      <c r="BJ2" s="35" t="s">
        <v>107</v>
      </c>
      <c r="BK2" s="35" t="s">
        <v>106</v>
      </c>
      <c r="BL2" s="35" t="s">
        <v>108</v>
      </c>
      <c r="BM2" s="35" t="s">
        <v>109</v>
      </c>
      <c r="BN2" s="35" t="s">
        <v>110</v>
      </c>
      <c r="BO2" s="35" t="s">
        <v>111</v>
      </c>
      <c r="BP2" s="35" t="s">
        <v>112</v>
      </c>
      <c r="BQ2" s="21" t="s">
        <v>60</v>
      </c>
      <c r="BR2" s="21" t="s">
        <v>61</v>
      </c>
      <c r="BS2" s="21" t="s">
        <v>62</v>
      </c>
      <c r="BT2" s="21" t="s">
        <v>63</v>
      </c>
      <c r="BU2" s="21" t="s">
        <v>64</v>
      </c>
      <c r="BV2" s="21" t="s">
        <v>65</v>
      </c>
      <c r="BW2" s="21" t="s">
        <v>66</v>
      </c>
      <c r="BX2" s="21" t="s">
        <v>67</v>
      </c>
      <c r="BY2" s="21" t="s">
        <v>68</v>
      </c>
      <c r="BZ2" s="21" t="s">
        <v>69</v>
      </c>
      <c r="CA2" s="21" t="s">
        <v>70</v>
      </c>
      <c r="CB2" s="21" t="s">
        <v>71</v>
      </c>
      <c r="CC2" s="21" t="s">
        <v>72</v>
      </c>
      <c r="CD2" s="21" t="s">
        <v>73</v>
      </c>
      <c r="CE2" s="21" t="s">
        <v>74</v>
      </c>
      <c r="CF2" s="21" t="s">
        <v>75</v>
      </c>
      <c r="CG2" s="21" t="s">
        <v>76</v>
      </c>
      <c r="CH2" s="21" t="s">
        <v>77</v>
      </c>
      <c r="CI2" s="21" t="s">
        <v>78</v>
      </c>
      <c r="CJ2" s="21" t="s">
        <v>79</v>
      </c>
      <c r="CK2" s="21" t="s">
        <v>80</v>
      </c>
      <c r="CL2" s="21" t="s">
        <v>81</v>
      </c>
      <c r="CM2" s="21" t="s">
        <v>82</v>
      </c>
      <c r="CN2" s="21" t="s">
        <v>83</v>
      </c>
      <c r="CO2" s="21" t="s">
        <v>84</v>
      </c>
      <c r="CP2" s="21" t="s">
        <v>85</v>
      </c>
      <c r="CQ2" s="21" t="s">
        <v>86</v>
      </c>
      <c r="CR2" s="21" t="s">
        <v>87</v>
      </c>
      <c r="CS2" s="21" t="s">
        <v>88</v>
      </c>
      <c r="CT2" s="21" t="s">
        <v>89</v>
      </c>
      <c r="CU2" s="21" t="s">
        <v>90</v>
      </c>
      <c r="CV2" s="21" t="s">
        <v>91</v>
      </c>
      <c r="CW2" s="21" t="s">
        <v>92</v>
      </c>
      <c r="CX2" s="21" t="s">
        <v>93</v>
      </c>
      <c r="CY2" s="21" t="s">
        <v>94</v>
      </c>
      <c r="CZ2" s="21" t="s">
        <v>95</v>
      </c>
      <c r="DA2" s="21" t="s">
        <v>96</v>
      </c>
      <c r="DB2" s="21" t="s">
        <v>97</v>
      </c>
      <c r="DC2" s="21" t="s">
        <v>98</v>
      </c>
      <c r="DD2" s="21" t="s">
        <v>99</v>
      </c>
      <c r="DE2" s="21" t="s">
        <v>100</v>
      </c>
      <c r="DF2" s="21" t="s">
        <v>101</v>
      </c>
      <c r="DG2" s="35"/>
    </row>
    <row r="3" spans="1:111" s="38" customFormat="1" ht="15">
      <c r="A3" s="40" t="s">
        <v>173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3"/>
    </row>
    <row r="4" spans="1:59" ht="15.75" customHeight="1">
      <c r="A4" s="44" t="s">
        <v>174</v>
      </c>
      <c r="B4" s="44" t="s">
        <v>2</v>
      </c>
      <c r="C4" s="45">
        <v>83.3</v>
      </c>
      <c r="D4" s="45" t="s">
        <v>3</v>
      </c>
      <c r="E4" s="45">
        <v>0.4</v>
      </c>
      <c r="F4" s="45">
        <v>0.5</v>
      </c>
      <c r="G4" s="45">
        <v>3.4</v>
      </c>
      <c r="H4" s="45">
        <v>0.6</v>
      </c>
      <c r="I4" s="45">
        <v>8.9</v>
      </c>
      <c r="J4" s="45" t="s">
        <v>3</v>
      </c>
      <c r="K4" s="45" t="s">
        <v>3</v>
      </c>
      <c r="L4" s="45">
        <v>13</v>
      </c>
      <c r="M4" s="45">
        <v>1.3</v>
      </c>
      <c r="N4" s="45">
        <v>0.5</v>
      </c>
      <c r="P4" s="45" t="s">
        <v>4</v>
      </c>
      <c r="Q4" s="45">
        <v>820</v>
      </c>
      <c r="R4" s="45" t="s">
        <v>175</v>
      </c>
      <c r="T4" s="45">
        <v>0.06</v>
      </c>
      <c r="U4" s="45">
        <v>0.02</v>
      </c>
      <c r="V4" s="45" t="s">
        <v>7</v>
      </c>
      <c r="W4" s="45">
        <v>0.09</v>
      </c>
      <c r="X4" s="45">
        <v>0.05</v>
      </c>
      <c r="Y4" s="45" t="s">
        <v>176</v>
      </c>
      <c r="AF4" s="45">
        <v>0.4</v>
      </c>
      <c r="AG4" s="45" t="s">
        <v>5</v>
      </c>
      <c r="AH4" s="45" t="s">
        <v>5</v>
      </c>
      <c r="AI4" s="45" t="s">
        <v>5</v>
      </c>
      <c r="AK4" s="45" t="s">
        <v>6</v>
      </c>
      <c r="AL4" s="45" t="s">
        <v>6</v>
      </c>
      <c r="AM4" s="45" t="s">
        <v>6</v>
      </c>
      <c r="AN4" s="45">
        <v>0.51</v>
      </c>
      <c r="AO4" s="45" t="s">
        <v>6</v>
      </c>
      <c r="AP4" s="45">
        <f>0.06*100</f>
        <v>6</v>
      </c>
      <c r="AQ4" s="45" t="s">
        <v>7</v>
      </c>
      <c r="AR4" s="45" t="s">
        <v>7</v>
      </c>
      <c r="AS4" s="45" t="s">
        <v>7</v>
      </c>
      <c r="AT4" s="46">
        <f>0.71/10</f>
        <v>0.071</v>
      </c>
      <c r="AU4" s="45">
        <f>130/10</f>
        <v>13</v>
      </c>
      <c r="AV4" s="45" t="s">
        <v>3</v>
      </c>
      <c r="AW4" s="45">
        <f>1500/10</f>
        <v>150</v>
      </c>
      <c r="AX4" s="45">
        <f>99/10</f>
        <v>9.9</v>
      </c>
      <c r="AY4" s="45">
        <f>0.62/10</f>
        <v>0.062</v>
      </c>
      <c r="AZ4" s="45" t="s">
        <v>7</v>
      </c>
      <c r="BA4" s="45" t="s">
        <v>7</v>
      </c>
      <c r="BB4" s="47">
        <f>0.7/10</f>
        <v>0.06999999999999999</v>
      </c>
      <c r="BC4" s="45" t="s">
        <v>7</v>
      </c>
      <c r="BD4" s="45" t="s">
        <v>7</v>
      </c>
      <c r="BE4" s="45">
        <f>100/10</f>
        <v>10</v>
      </c>
      <c r="BF4" s="45" t="s">
        <v>7</v>
      </c>
      <c r="BG4" s="45" t="s">
        <v>126</v>
      </c>
    </row>
    <row r="5" spans="1:27" ht="15">
      <c r="A5" s="44" t="s">
        <v>174</v>
      </c>
      <c r="B5" s="44" t="s">
        <v>128</v>
      </c>
      <c r="AA5" s="45">
        <v>25</v>
      </c>
    </row>
    <row r="6" spans="1:27" ht="15">
      <c r="A6" s="44" t="s">
        <v>178</v>
      </c>
      <c r="B6" s="44" t="s">
        <v>129</v>
      </c>
      <c r="AA6" s="45">
        <v>21</v>
      </c>
    </row>
    <row r="7" spans="1:27" ht="15">
      <c r="A7" s="44" t="s">
        <v>174</v>
      </c>
      <c r="B7" s="44" t="s">
        <v>130</v>
      </c>
      <c r="AA7" s="45">
        <v>26</v>
      </c>
    </row>
    <row r="8" spans="1:27" ht="15">
      <c r="A8" s="44" t="s">
        <v>174</v>
      </c>
      <c r="B8" s="44" t="s">
        <v>131</v>
      </c>
      <c r="AA8" s="45">
        <v>21</v>
      </c>
    </row>
    <row r="9" spans="1:27" ht="15">
      <c r="A9" s="44" t="s">
        <v>174</v>
      </c>
      <c r="B9" s="44" t="s">
        <v>132</v>
      </c>
      <c r="AA9" s="45">
        <v>22</v>
      </c>
    </row>
    <row r="10" spans="1:27" ht="15">
      <c r="A10" s="44" t="s">
        <v>174</v>
      </c>
      <c r="B10" s="44" t="s">
        <v>133</v>
      </c>
      <c r="AA10" s="45">
        <v>29</v>
      </c>
    </row>
    <row r="11" spans="1:27" ht="15">
      <c r="A11" s="44" t="s">
        <v>174</v>
      </c>
      <c r="B11" s="44" t="s">
        <v>134</v>
      </c>
      <c r="AA11" s="45">
        <v>28</v>
      </c>
    </row>
    <row r="12" spans="1:27" ht="15">
      <c r="A12" s="44" t="s">
        <v>174</v>
      </c>
      <c r="B12" s="44" t="s">
        <v>135</v>
      </c>
      <c r="AA12" s="45">
        <v>24</v>
      </c>
    </row>
    <row r="13" spans="1:59" ht="15">
      <c r="A13" s="44" t="s">
        <v>179</v>
      </c>
      <c r="B13" s="44" t="s">
        <v>2</v>
      </c>
      <c r="C13" s="45">
        <v>91.7</v>
      </c>
      <c r="D13" s="45" t="s">
        <v>3</v>
      </c>
      <c r="E13" s="45">
        <v>0.6</v>
      </c>
      <c r="F13" s="45">
        <v>0.3</v>
      </c>
      <c r="G13" s="45">
        <v>3.2</v>
      </c>
      <c r="H13" s="45">
        <v>1.2</v>
      </c>
      <c r="I13" s="45">
        <v>2.6</v>
      </c>
      <c r="J13" s="45" t="s">
        <v>3</v>
      </c>
      <c r="K13" s="45" t="s">
        <v>3</v>
      </c>
      <c r="L13" s="45">
        <v>7</v>
      </c>
      <c r="M13" s="45">
        <v>0.4</v>
      </c>
      <c r="N13" s="45">
        <v>0.4</v>
      </c>
      <c r="P13" s="45" t="s">
        <v>4</v>
      </c>
      <c r="Q13" s="45">
        <v>290</v>
      </c>
      <c r="R13" s="45" t="s">
        <v>4</v>
      </c>
      <c r="T13" s="45">
        <v>0.02</v>
      </c>
      <c r="U13" s="45" t="s">
        <v>6</v>
      </c>
      <c r="V13" s="45" t="s">
        <v>7</v>
      </c>
      <c r="W13" s="45">
        <v>0.09</v>
      </c>
      <c r="X13" s="45" t="s">
        <v>6</v>
      </c>
      <c r="Y13" s="45" t="s">
        <v>176</v>
      </c>
      <c r="AA13" s="45">
        <v>4.2</v>
      </c>
      <c r="AP13" s="45">
        <v>5</v>
      </c>
      <c r="AQ13" s="45" t="s">
        <v>7</v>
      </c>
      <c r="AR13" s="45" t="s">
        <v>7</v>
      </c>
      <c r="AS13" s="45" t="s">
        <v>7</v>
      </c>
      <c r="AT13" s="45">
        <v>0.08199999999999999</v>
      </c>
      <c r="AU13" s="45">
        <v>14</v>
      </c>
      <c r="AV13" s="45" t="s">
        <v>3</v>
      </c>
      <c r="AW13" s="45">
        <v>120</v>
      </c>
      <c r="AX13" s="45">
        <v>12</v>
      </c>
      <c r="AY13" s="45">
        <v>0.05</v>
      </c>
      <c r="AZ13" s="45">
        <v>1.3</v>
      </c>
      <c r="BA13" s="45">
        <v>4.1</v>
      </c>
      <c r="BB13" s="45">
        <v>0.034</v>
      </c>
      <c r="BC13" s="45" t="s">
        <v>7</v>
      </c>
      <c r="BD13" s="45" t="s">
        <v>7</v>
      </c>
      <c r="BE13" s="45">
        <v>5.1</v>
      </c>
      <c r="BF13" s="45" t="s">
        <v>7</v>
      </c>
      <c r="BG13" s="45" t="s">
        <v>126</v>
      </c>
    </row>
    <row r="14" spans="1:110" ht="15">
      <c r="A14" s="44" t="s">
        <v>180</v>
      </c>
      <c r="B14" s="44" t="s">
        <v>2</v>
      </c>
      <c r="C14" s="45">
        <v>73.2</v>
      </c>
      <c r="D14" s="45">
        <v>13.2</v>
      </c>
      <c r="E14" s="45">
        <v>1.6</v>
      </c>
      <c r="F14" s="45">
        <v>0.2</v>
      </c>
      <c r="G14" s="45" t="s">
        <v>3</v>
      </c>
      <c r="H14" s="45" t="s">
        <v>3</v>
      </c>
      <c r="I14" s="45" t="s">
        <v>3</v>
      </c>
      <c r="J14" s="45" t="s">
        <v>3</v>
      </c>
      <c r="K14" s="45" t="s">
        <v>3</v>
      </c>
      <c r="L14" s="45" t="s">
        <v>7</v>
      </c>
      <c r="M14" s="45">
        <v>7.5</v>
      </c>
      <c r="N14" s="45">
        <v>1.7</v>
      </c>
      <c r="P14" s="45">
        <v>38</v>
      </c>
      <c r="Q14" s="45">
        <v>56</v>
      </c>
      <c r="R14" s="45" t="s">
        <v>175</v>
      </c>
      <c r="T14" s="45">
        <v>0.04</v>
      </c>
      <c r="U14" s="45">
        <v>0.03</v>
      </c>
      <c r="V14" s="45">
        <v>1.7</v>
      </c>
      <c r="W14" s="45">
        <v>0.67</v>
      </c>
      <c r="X14" s="45">
        <v>0.1</v>
      </c>
      <c r="Y14" s="45">
        <v>112</v>
      </c>
      <c r="AA14" s="45">
        <v>3.6</v>
      </c>
      <c r="AF14" s="45">
        <v>1.8</v>
      </c>
      <c r="AG14" s="45" t="s">
        <v>5</v>
      </c>
      <c r="AH14" s="45" t="s">
        <v>5</v>
      </c>
      <c r="AI14" s="45" t="s">
        <v>5</v>
      </c>
      <c r="AP14" s="45">
        <f>0.22*100</f>
        <v>22</v>
      </c>
      <c r="AQ14" s="45" t="s">
        <v>7</v>
      </c>
      <c r="AR14" s="45" t="s">
        <v>7</v>
      </c>
      <c r="AS14" s="45" t="s">
        <v>7</v>
      </c>
      <c r="AT14" s="45">
        <f>5.2/10</f>
        <v>0.52</v>
      </c>
      <c r="AU14" s="45">
        <f>440/10</f>
        <v>44</v>
      </c>
      <c r="AV14" s="45">
        <f>4.7/10</f>
        <v>0.47000000000000003</v>
      </c>
      <c r="AW14" s="45">
        <f>4300/10</f>
        <v>430</v>
      </c>
      <c r="AX14" s="45">
        <f>260/10</f>
        <v>26</v>
      </c>
      <c r="AY14" s="45">
        <f>1.6/10</f>
        <v>0.16</v>
      </c>
      <c r="AZ14" s="45" t="s">
        <v>7</v>
      </c>
      <c r="BA14" s="45">
        <f>86/10</f>
        <v>8.6</v>
      </c>
      <c r="BB14" s="45">
        <f>1.6/10</f>
        <v>0.16</v>
      </c>
      <c r="BC14" s="45">
        <f>0.011/10*1000</f>
        <v>1.0999999999999999</v>
      </c>
      <c r="BD14" s="45" t="s">
        <v>7</v>
      </c>
      <c r="BE14" s="45">
        <f>120/10</f>
        <v>12</v>
      </c>
      <c r="BF14" s="45" t="s">
        <v>7</v>
      </c>
      <c r="BG14" s="45" t="s">
        <v>126</v>
      </c>
      <c r="BI14" s="46">
        <v>0.079</v>
      </c>
      <c r="BJ14" s="46">
        <v>1.439</v>
      </c>
      <c r="BK14" s="46">
        <v>0</v>
      </c>
      <c r="BL14" s="46">
        <v>0</v>
      </c>
      <c r="BM14" s="46">
        <v>0</v>
      </c>
      <c r="BN14" s="45">
        <v>1.36</v>
      </c>
      <c r="BO14" s="46">
        <v>9.7152</v>
      </c>
      <c r="BP14" s="46">
        <v>2.046</v>
      </c>
      <c r="BQ14" s="45" t="s">
        <v>5</v>
      </c>
      <c r="BR14" s="45" t="s">
        <v>5</v>
      </c>
      <c r="BS14" s="45" t="s">
        <v>5</v>
      </c>
      <c r="BT14" s="48" t="s">
        <v>5</v>
      </c>
      <c r="BU14" s="45" t="s">
        <v>5</v>
      </c>
      <c r="BV14" s="48" t="s">
        <v>5</v>
      </c>
      <c r="BW14" s="45" t="s">
        <v>5</v>
      </c>
      <c r="BX14" s="45">
        <v>14.9</v>
      </c>
      <c r="BY14" s="45" t="s">
        <v>5</v>
      </c>
      <c r="BZ14" s="45">
        <v>0.4</v>
      </c>
      <c r="CA14" s="45" t="s">
        <v>5</v>
      </c>
      <c r="CB14" s="45" t="s">
        <v>5</v>
      </c>
      <c r="CC14" s="45" t="s">
        <v>5</v>
      </c>
      <c r="CD14" s="45" t="s">
        <v>5</v>
      </c>
      <c r="CE14" s="45">
        <v>5.1</v>
      </c>
      <c r="CF14" s="45" t="s">
        <v>5</v>
      </c>
      <c r="CG14" s="45">
        <v>68.3</v>
      </c>
      <c r="CH14" s="45">
        <v>0.2</v>
      </c>
      <c r="CI14" s="45" t="s">
        <v>5</v>
      </c>
      <c r="CJ14" s="45" t="s">
        <v>5</v>
      </c>
      <c r="CK14" s="3">
        <v>10.2</v>
      </c>
      <c r="CL14" s="3" t="s">
        <v>5</v>
      </c>
      <c r="CM14" s="3">
        <v>0.6</v>
      </c>
      <c r="CN14" s="3" t="s">
        <v>5</v>
      </c>
      <c r="CO14" s="3" t="s">
        <v>5</v>
      </c>
      <c r="CP14" s="3" t="s">
        <v>5</v>
      </c>
      <c r="CQ14" s="3" t="s">
        <v>5</v>
      </c>
      <c r="CR14" s="3" t="s">
        <v>5</v>
      </c>
      <c r="CS14" s="3" t="s">
        <v>5</v>
      </c>
      <c r="CT14" s="3" t="s">
        <v>5</v>
      </c>
      <c r="CU14" s="3" t="s">
        <v>5</v>
      </c>
      <c r="CV14" s="3" t="s">
        <v>5</v>
      </c>
      <c r="CW14" s="45" t="s">
        <v>5</v>
      </c>
      <c r="CX14" s="45" t="s">
        <v>5</v>
      </c>
      <c r="CY14" s="45" t="s">
        <v>5</v>
      </c>
      <c r="CZ14" s="45" t="s">
        <v>5</v>
      </c>
      <c r="DA14" s="45" t="s">
        <v>5</v>
      </c>
      <c r="DB14" s="45" t="s">
        <v>5</v>
      </c>
      <c r="DC14" s="45" t="s">
        <v>5</v>
      </c>
      <c r="DD14" s="45" t="s">
        <v>5</v>
      </c>
      <c r="DE14" s="45" t="s">
        <v>5</v>
      </c>
      <c r="DF14" s="45" t="s">
        <v>5</v>
      </c>
    </row>
    <row r="15" spans="1:110" ht="15">
      <c r="A15" s="8" t="s">
        <v>113</v>
      </c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9"/>
      <c r="T15" s="18"/>
      <c r="U15" s="18"/>
      <c r="V15" s="30"/>
      <c r="W15" s="18"/>
      <c r="X15" s="18"/>
      <c r="Y15" s="18"/>
      <c r="Z15" s="18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50"/>
      <c r="CX15" s="50"/>
      <c r="CY15" s="50"/>
      <c r="CZ15" s="50"/>
      <c r="DA15" s="50"/>
      <c r="DB15" s="50"/>
      <c r="DC15" s="50"/>
      <c r="DD15" s="50"/>
      <c r="DE15" s="50"/>
      <c r="DF15" s="50"/>
    </row>
    <row r="16" spans="1:74" ht="15">
      <c r="A16" s="44" t="s">
        <v>181</v>
      </c>
      <c r="B16" s="44" t="s">
        <v>2</v>
      </c>
      <c r="C16" s="45">
        <v>96.7</v>
      </c>
      <c r="D16" s="45" t="s">
        <v>3</v>
      </c>
      <c r="E16" s="45">
        <v>0.7</v>
      </c>
      <c r="F16" s="45">
        <v>0.1</v>
      </c>
      <c r="G16" s="45">
        <v>0.9</v>
      </c>
      <c r="H16" s="45">
        <v>0.8</v>
      </c>
      <c r="I16" s="45" t="s">
        <v>3</v>
      </c>
      <c r="J16" s="45" t="s">
        <v>3</v>
      </c>
      <c r="K16" s="45" t="s">
        <v>3</v>
      </c>
      <c r="L16" s="45">
        <v>1.7</v>
      </c>
      <c r="M16" s="45">
        <v>0.6</v>
      </c>
      <c r="N16" s="45">
        <v>0.5</v>
      </c>
      <c r="P16" s="45" t="s">
        <v>4</v>
      </c>
      <c r="Q16" s="45">
        <v>30</v>
      </c>
      <c r="R16" s="45" t="s">
        <v>175</v>
      </c>
      <c r="T16" s="45" t="s">
        <v>6</v>
      </c>
      <c r="U16" s="45" t="s">
        <v>6</v>
      </c>
      <c r="V16" s="45" t="s">
        <v>7</v>
      </c>
      <c r="W16" s="45">
        <v>0.1</v>
      </c>
      <c r="X16" s="45">
        <v>1.8</v>
      </c>
      <c r="Y16" s="45">
        <v>3.53</v>
      </c>
      <c r="AA16" s="45">
        <v>3</v>
      </c>
      <c r="AP16" s="45">
        <f>0.06*100</f>
        <v>6</v>
      </c>
      <c r="AQ16" s="45" t="s">
        <v>7</v>
      </c>
      <c r="AR16" s="45" t="s">
        <v>7</v>
      </c>
      <c r="AS16" s="45" t="s">
        <v>7</v>
      </c>
      <c r="AT16" s="45">
        <f>1.3/10</f>
        <v>0.13</v>
      </c>
      <c r="AU16" s="45">
        <f>280/10</f>
        <v>28</v>
      </c>
      <c r="AV16" s="45">
        <f>2.4/10</f>
        <v>0.24</v>
      </c>
      <c r="AW16" s="45">
        <f>1700/10</f>
        <v>170</v>
      </c>
      <c r="AX16" s="45">
        <f>100/10</f>
        <v>10</v>
      </c>
      <c r="AY16" s="45">
        <f>1/10</f>
        <v>0.1</v>
      </c>
      <c r="AZ16" s="45">
        <f>0.058/10*1000</f>
        <v>5.800000000000001</v>
      </c>
      <c r="BA16" s="45">
        <f>38/10</f>
        <v>3.8</v>
      </c>
      <c r="BB16" s="45">
        <f>0.23/10</f>
        <v>0.023</v>
      </c>
      <c r="BC16" s="45" t="s">
        <v>7</v>
      </c>
      <c r="BD16" s="45" t="s">
        <v>7</v>
      </c>
      <c r="BE16" s="45">
        <f>210/10</f>
        <v>21</v>
      </c>
      <c r="BF16" s="45" t="s">
        <v>7</v>
      </c>
      <c r="BG16" s="45" t="s">
        <v>126</v>
      </c>
      <c r="BT16" s="48"/>
      <c r="BV16" s="48"/>
    </row>
    <row r="17" spans="1:59" ht="15">
      <c r="A17" s="44" t="s">
        <v>182</v>
      </c>
      <c r="B17" s="44" t="s">
        <v>2</v>
      </c>
      <c r="C17" s="45">
        <v>94.5</v>
      </c>
      <c r="D17" s="45" t="s">
        <v>3</v>
      </c>
      <c r="E17" s="45">
        <v>0.6</v>
      </c>
      <c r="F17" s="45">
        <v>0.5</v>
      </c>
      <c r="G17" s="45">
        <v>1.4</v>
      </c>
      <c r="H17" s="45">
        <v>1.1</v>
      </c>
      <c r="I17" s="45" t="s">
        <v>3</v>
      </c>
      <c r="J17" s="45" t="s">
        <v>3</v>
      </c>
      <c r="K17" s="45" t="s">
        <v>3</v>
      </c>
      <c r="L17" s="45">
        <v>2.5</v>
      </c>
      <c r="M17" s="45">
        <v>1.1</v>
      </c>
      <c r="N17" s="45">
        <v>0.5</v>
      </c>
      <c r="R17" s="45" t="s">
        <v>175</v>
      </c>
      <c r="T17" s="45" t="s">
        <v>6</v>
      </c>
      <c r="U17" s="45" t="s">
        <v>6</v>
      </c>
      <c r="V17" s="45" t="s">
        <v>7</v>
      </c>
      <c r="AP17" s="45">
        <f>0.05*100</f>
        <v>5</v>
      </c>
      <c r="AQ17" s="45" t="s">
        <v>7</v>
      </c>
      <c r="AR17" s="45">
        <f>0.017/10*1000</f>
        <v>1.7000000000000002</v>
      </c>
      <c r="AS17" s="45" t="s">
        <v>7</v>
      </c>
      <c r="AT17" s="45">
        <f>1.6/10</f>
        <v>0.16</v>
      </c>
      <c r="AU17" s="45">
        <f>210/10</f>
        <v>21</v>
      </c>
      <c r="AV17" s="45">
        <f>2.4/10</f>
        <v>0.24</v>
      </c>
      <c r="AW17" s="45">
        <f>2200/10</f>
        <v>220</v>
      </c>
      <c r="AX17" s="45">
        <f>81/10</f>
        <v>8.1</v>
      </c>
      <c r="AY17" s="45">
        <f>0.83/10</f>
        <v>0.08299999999999999</v>
      </c>
      <c r="AZ17" s="45">
        <f>0.033/10*1000</f>
        <v>3.3</v>
      </c>
      <c r="BA17" s="45">
        <f>38/10</f>
        <v>3.8</v>
      </c>
      <c r="BB17" s="45">
        <f>0.33/10</f>
        <v>0.033</v>
      </c>
      <c r="BC17" s="45" t="s">
        <v>7</v>
      </c>
      <c r="BD17" s="45" t="s">
        <v>7</v>
      </c>
      <c r="BE17" s="45">
        <f>99/10</f>
        <v>9.9</v>
      </c>
      <c r="BF17" s="45" t="s">
        <v>7</v>
      </c>
      <c r="BG17" s="45" t="s">
        <v>126</v>
      </c>
    </row>
    <row r="18" spans="1:27" ht="15">
      <c r="A18" s="44" t="s">
        <v>182</v>
      </c>
      <c r="B18" s="44" t="s">
        <v>128</v>
      </c>
      <c r="P18" s="45" t="s">
        <v>4</v>
      </c>
      <c r="Q18" s="45">
        <v>270</v>
      </c>
      <c r="S18" s="45">
        <v>560</v>
      </c>
      <c r="AA18" s="45">
        <v>12</v>
      </c>
    </row>
    <row r="19" spans="1:27" ht="15">
      <c r="A19" s="44" t="s">
        <v>182</v>
      </c>
      <c r="B19" s="44" t="s">
        <v>129</v>
      </c>
      <c r="P19" s="45" t="s">
        <v>4</v>
      </c>
      <c r="Q19" s="45">
        <v>280</v>
      </c>
      <c r="S19" s="45">
        <v>430</v>
      </c>
      <c r="AA19" s="45">
        <v>13</v>
      </c>
    </row>
    <row r="20" spans="1:27" ht="15">
      <c r="A20" s="44" t="s">
        <v>182</v>
      </c>
      <c r="B20" s="44" t="s">
        <v>130</v>
      </c>
      <c r="P20" s="45" t="s">
        <v>4</v>
      </c>
      <c r="Q20" s="45">
        <v>320</v>
      </c>
      <c r="S20" s="45">
        <v>1300</v>
      </c>
      <c r="AA20" s="45">
        <v>15</v>
      </c>
    </row>
    <row r="21" spans="1:27" ht="15">
      <c r="A21" s="44" t="s">
        <v>182</v>
      </c>
      <c r="B21" s="44" t="s">
        <v>131</v>
      </c>
      <c r="P21" s="45" t="s">
        <v>4</v>
      </c>
      <c r="Q21" s="45">
        <v>250</v>
      </c>
      <c r="S21" s="45">
        <v>680</v>
      </c>
      <c r="AA21" s="45">
        <v>14</v>
      </c>
    </row>
    <row r="22" spans="1:27" ht="15">
      <c r="A22" s="44" t="s">
        <v>182</v>
      </c>
      <c r="B22" s="44" t="s">
        <v>132</v>
      </c>
      <c r="P22" s="45" t="s">
        <v>4</v>
      </c>
      <c r="Q22" s="45">
        <v>220</v>
      </c>
      <c r="S22" s="45">
        <v>320</v>
      </c>
      <c r="AA22" s="45">
        <v>13</v>
      </c>
    </row>
    <row r="23" spans="1:27" ht="15">
      <c r="A23" s="44" t="s">
        <v>182</v>
      </c>
      <c r="B23" s="44" t="s">
        <v>133</v>
      </c>
      <c r="P23" s="45" t="s">
        <v>4</v>
      </c>
      <c r="Q23" s="45">
        <v>220</v>
      </c>
      <c r="S23" s="45">
        <v>860</v>
      </c>
      <c r="AA23" s="45">
        <v>16</v>
      </c>
    </row>
    <row r="24" spans="1:27" ht="15">
      <c r="A24" s="44" t="s">
        <v>182</v>
      </c>
      <c r="B24" s="44" t="s">
        <v>134</v>
      </c>
      <c r="P24" s="45" t="s">
        <v>4</v>
      </c>
      <c r="Q24" s="45">
        <v>250</v>
      </c>
      <c r="S24" s="45">
        <v>760</v>
      </c>
      <c r="AA24" s="45">
        <v>15</v>
      </c>
    </row>
    <row r="25" spans="1:27" ht="15">
      <c r="A25" s="44" t="s">
        <v>182</v>
      </c>
      <c r="B25" s="44" t="s">
        <v>135</v>
      </c>
      <c r="P25" s="45" t="s">
        <v>4</v>
      </c>
      <c r="Q25" s="45">
        <v>260</v>
      </c>
      <c r="S25" s="45">
        <v>600</v>
      </c>
      <c r="AA25" s="45">
        <v>15</v>
      </c>
    </row>
    <row r="26" spans="1:110" ht="15">
      <c r="A26" s="8" t="s">
        <v>114</v>
      </c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49"/>
      <c r="T26" s="18"/>
      <c r="U26" s="18"/>
      <c r="V26" s="18"/>
      <c r="W26" s="18"/>
      <c r="X26" s="18"/>
      <c r="Y26" s="18"/>
      <c r="Z26" s="49"/>
      <c r="AA26" s="18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18"/>
      <c r="AR26" s="18"/>
      <c r="AS26" s="18"/>
      <c r="AT26" s="18"/>
      <c r="AU26" s="18"/>
      <c r="AV26" s="18"/>
      <c r="AW26" s="18"/>
      <c r="AX26" s="18"/>
      <c r="AY26" s="18"/>
      <c r="AZ26" s="49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50"/>
      <c r="CX26" s="50"/>
      <c r="CY26" s="50"/>
      <c r="CZ26" s="50"/>
      <c r="DA26" s="50"/>
      <c r="DB26" s="50"/>
      <c r="DC26" s="50"/>
      <c r="DD26" s="50"/>
      <c r="DE26" s="50"/>
      <c r="DF26" s="50"/>
    </row>
    <row r="27" spans="1:59" ht="15">
      <c r="A27" s="44" t="s">
        <v>183</v>
      </c>
      <c r="B27" s="44" t="s">
        <v>2</v>
      </c>
      <c r="C27" s="45">
        <v>92.3</v>
      </c>
      <c r="D27" s="45">
        <v>0.3</v>
      </c>
      <c r="E27" s="45">
        <v>1.7</v>
      </c>
      <c r="N27" s="48">
        <v>1</v>
      </c>
      <c r="T27" s="45" t="s">
        <v>6</v>
      </c>
      <c r="U27" s="45" t="s">
        <v>6</v>
      </c>
      <c r="V27" s="45">
        <v>5.3</v>
      </c>
      <c r="W27" s="45" t="s">
        <v>45</v>
      </c>
      <c r="Y27" s="45" t="s">
        <v>176</v>
      </c>
      <c r="AF27" s="45" t="s">
        <v>5</v>
      </c>
      <c r="AG27" s="45" t="s">
        <v>5</v>
      </c>
      <c r="AH27" s="45" t="s">
        <v>5</v>
      </c>
      <c r="AI27" s="45" t="s">
        <v>5</v>
      </c>
      <c r="AQ27" s="45" t="s">
        <v>7</v>
      </c>
      <c r="AR27" s="45">
        <f>0.013/10*1000</f>
        <v>1.3</v>
      </c>
      <c r="AS27" s="45" t="s">
        <v>7</v>
      </c>
      <c r="AT27" s="45">
        <f>0.57/10</f>
        <v>0.056999999999999995</v>
      </c>
      <c r="AU27" s="51">
        <f>290/10</f>
        <v>29</v>
      </c>
      <c r="AV27" s="45" t="s">
        <v>3</v>
      </c>
      <c r="AW27" s="48">
        <f>5200/10</f>
        <v>520</v>
      </c>
      <c r="AX27" s="45">
        <f>370/10</f>
        <v>37</v>
      </c>
      <c r="AY27" s="45">
        <f>2.5/10</f>
        <v>0.25</v>
      </c>
      <c r="AZ27" s="45" t="s">
        <v>7</v>
      </c>
      <c r="BA27" s="48">
        <f>19/10</f>
        <v>1.9</v>
      </c>
      <c r="BB27" s="47">
        <f>0.42/10</f>
        <v>0.041999999999999996</v>
      </c>
      <c r="BC27" s="45" t="s">
        <v>7</v>
      </c>
      <c r="BD27" s="45" t="s">
        <v>7</v>
      </c>
      <c r="BE27" s="45">
        <f>110/10</f>
        <v>11</v>
      </c>
      <c r="BF27" s="45" t="s">
        <v>7</v>
      </c>
      <c r="BG27" s="45" t="s">
        <v>126</v>
      </c>
    </row>
    <row r="28" spans="1:55" ht="15">
      <c r="A28" s="44" t="s">
        <v>183</v>
      </c>
      <c r="B28" s="44" t="s">
        <v>128</v>
      </c>
      <c r="AJ28" s="45">
        <v>330</v>
      </c>
      <c r="AU28" s="48"/>
      <c r="AV28" s="48"/>
      <c r="AW28" s="48"/>
      <c r="BA28" s="48"/>
      <c r="BB28" s="48"/>
      <c r="BC28" s="48"/>
    </row>
    <row r="29" spans="1:36" ht="15">
      <c r="A29" s="44" t="s">
        <v>183</v>
      </c>
      <c r="B29" s="44" t="s">
        <v>129</v>
      </c>
      <c r="AJ29" s="45">
        <v>450</v>
      </c>
    </row>
    <row r="30" spans="1:36" ht="15">
      <c r="A30" s="44" t="s">
        <v>183</v>
      </c>
      <c r="B30" s="44" t="s">
        <v>130</v>
      </c>
      <c r="AJ30" s="45">
        <v>510</v>
      </c>
    </row>
    <row r="31" spans="1:36" ht="15">
      <c r="A31" s="44" t="s">
        <v>183</v>
      </c>
      <c r="B31" s="44" t="s">
        <v>131</v>
      </c>
      <c r="AJ31" s="45">
        <v>260</v>
      </c>
    </row>
    <row r="32" spans="1:36" ht="15">
      <c r="A32" s="44" t="s">
        <v>183</v>
      </c>
      <c r="B32" s="44" t="s">
        <v>132</v>
      </c>
      <c r="AJ32" s="45">
        <v>320</v>
      </c>
    </row>
    <row r="33" spans="1:36" ht="15">
      <c r="A33" s="44" t="s">
        <v>183</v>
      </c>
      <c r="B33" s="44" t="s">
        <v>133</v>
      </c>
      <c r="AJ33" s="45">
        <v>660</v>
      </c>
    </row>
    <row r="34" spans="1:36" ht="15">
      <c r="A34" s="44" t="s">
        <v>183</v>
      </c>
      <c r="B34" s="44" t="s">
        <v>134</v>
      </c>
      <c r="AJ34" s="45">
        <v>410</v>
      </c>
    </row>
    <row r="35" spans="1:36" ht="15">
      <c r="A35" s="44" t="s">
        <v>183</v>
      </c>
      <c r="B35" s="44" t="s">
        <v>135</v>
      </c>
      <c r="AJ35" s="45">
        <v>330</v>
      </c>
    </row>
    <row r="36" spans="1:110" ht="15">
      <c r="A36" s="40" t="s">
        <v>184</v>
      </c>
      <c r="B36" s="52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</row>
    <row r="37" spans="1:110" ht="15">
      <c r="A37" s="44" t="s">
        <v>185</v>
      </c>
      <c r="B37" s="44" t="s">
        <v>2</v>
      </c>
      <c r="C37" s="45">
        <v>16.6</v>
      </c>
      <c r="D37" s="45">
        <v>78.1</v>
      </c>
      <c r="E37" s="45">
        <v>0.5</v>
      </c>
      <c r="F37" s="45">
        <v>0.4</v>
      </c>
      <c r="G37" s="45" t="s">
        <v>3</v>
      </c>
      <c r="H37" s="45" t="s">
        <v>3</v>
      </c>
      <c r="I37" s="45" t="s">
        <v>3</v>
      </c>
      <c r="J37" s="45" t="s">
        <v>3</v>
      </c>
      <c r="K37" s="45">
        <v>0.6</v>
      </c>
      <c r="L37" s="45" t="s">
        <v>7</v>
      </c>
      <c r="N37" s="45">
        <v>1.7</v>
      </c>
      <c r="R37" s="45" t="s">
        <v>175</v>
      </c>
      <c r="T37" s="45">
        <v>0.03</v>
      </c>
      <c r="U37" s="45">
        <v>0.02</v>
      </c>
      <c r="V37" s="45" t="s">
        <v>7</v>
      </c>
      <c r="W37" s="45" t="s">
        <v>45</v>
      </c>
      <c r="X37" s="45" t="s">
        <v>6</v>
      </c>
      <c r="Z37" s="45">
        <v>0.054</v>
      </c>
      <c r="AF37" s="45">
        <v>6.4</v>
      </c>
      <c r="AG37" s="45" t="s">
        <v>5</v>
      </c>
      <c r="AH37" s="45" t="s">
        <v>5</v>
      </c>
      <c r="AI37" s="45">
        <v>5.2</v>
      </c>
      <c r="AP37" s="45">
        <f>0.04*100</f>
        <v>4</v>
      </c>
      <c r="AQ37" s="45">
        <f>0.04/10*1000</f>
        <v>4</v>
      </c>
      <c r="BH37" s="45">
        <v>150</v>
      </c>
      <c r="BI37" s="46">
        <v>2.9678</v>
      </c>
      <c r="BJ37" s="46">
        <v>9.2158</v>
      </c>
      <c r="BK37" s="46">
        <f>1.7182+0.2343</f>
        <v>1.9525</v>
      </c>
      <c r="BL37" s="46">
        <v>0.2343</v>
      </c>
      <c r="BM37" s="46">
        <v>1.7182</v>
      </c>
      <c r="BN37" s="46">
        <v>6.2</v>
      </c>
      <c r="BO37" s="46">
        <v>29.678</v>
      </c>
      <c r="BP37" s="46">
        <v>37.1756</v>
      </c>
      <c r="BQ37" s="45">
        <v>1.4</v>
      </c>
      <c r="BR37" s="45">
        <v>1.2</v>
      </c>
      <c r="BS37" s="45">
        <v>0.8</v>
      </c>
      <c r="BT37" s="48">
        <v>2</v>
      </c>
      <c r="BU37" s="45">
        <v>2.5</v>
      </c>
      <c r="BV37" s="48">
        <v>8</v>
      </c>
      <c r="BW37" s="45">
        <v>0.9</v>
      </c>
      <c r="BX37" s="45">
        <v>21.2</v>
      </c>
      <c r="BY37" s="45">
        <v>0.6</v>
      </c>
      <c r="BZ37" s="45">
        <v>8.7</v>
      </c>
      <c r="CA37" s="45">
        <v>0.3</v>
      </c>
      <c r="CB37" s="45">
        <v>0.1</v>
      </c>
      <c r="CC37" s="45" t="s">
        <v>5</v>
      </c>
      <c r="CD37" s="45">
        <v>0.6</v>
      </c>
      <c r="CE37" s="45">
        <v>1.3</v>
      </c>
      <c r="CF37" s="45" t="s">
        <v>5</v>
      </c>
      <c r="CG37" s="45">
        <v>35.5</v>
      </c>
      <c r="CH37" s="45">
        <v>0.4</v>
      </c>
      <c r="CI37" s="45" t="s">
        <v>5</v>
      </c>
      <c r="CJ37" s="45" t="s">
        <v>5</v>
      </c>
      <c r="CK37" s="3">
        <v>7.8</v>
      </c>
      <c r="CL37" s="3" t="s">
        <v>5</v>
      </c>
      <c r="CM37" s="3">
        <v>3.7</v>
      </c>
      <c r="CN37" s="3" t="s">
        <v>5</v>
      </c>
      <c r="CO37" s="3" t="s">
        <v>5</v>
      </c>
      <c r="CP37" s="3" t="s">
        <v>5</v>
      </c>
      <c r="CQ37" s="3" t="s">
        <v>5</v>
      </c>
      <c r="CR37" s="3" t="s">
        <v>5</v>
      </c>
      <c r="CS37" s="3" t="s">
        <v>5</v>
      </c>
      <c r="CT37" s="3" t="s">
        <v>5</v>
      </c>
      <c r="CU37" s="3" t="s">
        <v>5</v>
      </c>
      <c r="CV37" s="3" t="s">
        <v>5</v>
      </c>
      <c r="CW37" s="45">
        <v>0.2</v>
      </c>
      <c r="CX37" s="45">
        <v>0.1</v>
      </c>
      <c r="CY37" s="45">
        <v>2.1</v>
      </c>
      <c r="CZ37" s="45" t="s">
        <v>5</v>
      </c>
      <c r="DA37" s="45" t="s">
        <v>5</v>
      </c>
      <c r="DB37" s="45" t="s">
        <v>5</v>
      </c>
      <c r="DC37" s="45" t="s">
        <v>5</v>
      </c>
      <c r="DD37" s="45" t="s">
        <v>5</v>
      </c>
      <c r="DE37" s="45" t="s">
        <v>5</v>
      </c>
      <c r="DF37" s="45" t="s">
        <v>5</v>
      </c>
    </row>
    <row r="38" spans="1:61" ht="15">
      <c r="A38" s="44" t="s">
        <v>185</v>
      </c>
      <c r="B38" s="44" t="s">
        <v>128</v>
      </c>
      <c r="O38" s="45">
        <v>1500</v>
      </c>
      <c r="P38" s="45" t="s">
        <v>4</v>
      </c>
      <c r="Q38" s="45">
        <v>310</v>
      </c>
      <c r="AB38" s="45" t="s">
        <v>57</v>
      </c>
      <c r="AC38" s="45">
        <v>6</v>
      </c>
      <c r="AD38" s="45" t="s">
        <v>57</v>
      </c>
      <c r="AE38" s="45" t="s">
        <v>57</v>
      </c>
      <c r="AR38" s="45" t="s">
        <v>7</v>
      </c>
      <c r="AS38" s="45" t="s">
        <v>7</v>
      </c>
      <c r="AT38" s="47">
        <f>0.45/10</f>
        <v>0.045</v>
      </c>
      <c r="AU38" s="45">
        <f>170/10</f>
        <v>17</v>
      </c>
      <c r="AV38" s="45" t="s">
        <v>3</v>
      </c>
      <c r="AW38" s="45">
        <f>230/10</f>
        <v>23</v>
      </c>
      <c r="AX38" s="45">
        <f>16/10</f>
        <v>1.6</v>
      </c>
      <c r="AY38" s="45" t="s">
        <v>125</v>
      </c>
      <c r="AZ38" s="48">
        <f>0.024/10*1000</f>
        <v>2.4000000000000004</v>
      </c>
      <c r="BA38" s="45">
        <f>6300/10</f>
        <v>630</v>
      </c>
      <c r="BB38" s="53">
        <f>0.035/10</f>
        <v>0.0035000000000000005</v>
      </c>
      <c r="BC38" s="45" t="s">
        <v>7</v>
      </c>
      <c r="BD38" s="45" t="s">
        <v>7</v>
      </c>
      <c r="BE38" s="45">
        <f>150/10</f>
        <v>15</v>
      </c>
      <c r="BF38" s="45" t="s">
        <v>7</v>
      </c>
      <c r="BG38" s="45" t="s">
        <v>126</v>
      </c>
      <c r="BI38" s="47"/>
    </row>
    <row r="39" spans="1:61" ht="15">
      <c r="A39" s="44" t="s">
        <v>185</v>
      </c>
      <c r="B39" s="44" t="s">
        <v>129</v>
      </c>
      <c r="O39" s="45">
        <v>1400</v>
      </c>
      <c r="P39" s="45" t="s">
        <v>4</v>
      </c>
      <c r="Q39" s="45">
        <v>370</v>
      </c>
      <c r="AB39" s="45" t="s">
        <v>57</v>
      </c>
      <c r="AC39" s="45">
        <v>5.1</v>
      </c>
      <c r="AD39" s="45" t="s">
        <v>57</v>
      </c>
      <c r="AE39" s="45" t="s">
        <v>57</v>
      </c>
      <c r="AR39" s="45" t="s">
        <v>7</v>
      </c>
      <c r="AS39" s="45" t="s">
        <v>7</v>
      </c>
      <c r="AT39" s="47">
        <f>0.37/10</f>
        <v>0.037</v>
      </c>
      <c r="AU39" s="45">
        <f>190/10</f>
        <v>19</v>
      </c>
      <c r="AV39" s="45" t="s">
        <v>3</v>
      </c>
      <c r="AW39" s="45">
        <f>250/10</f>
        <v>25</v>
      </c>
      <c r="AX39" s="45">
        <f>17/10</f>
        <v>1.7</v>
      </c>
      <c r="AY39" s="45" t="s">
        <v>125</v>
      </c>
      <c r="AZ39" s="48">
        <f>0.03/10*1000</f>
        <v>3</v>
      </c>
      <c r="BA39" s="45">
        <f>6600/10</f>
        <v>660</v>
      </c>
      <c r="BB39" s="53" t="s">
        <v>125</v>
      </c>
      <c r="BC39" s="45" t="s">
        <v>7</v>
      </c>
      <c r="BD39" s="45" t="s">
        <v>7</v>
      </c>
      <c r="BE39" s="45">
        <f>150/10</f>
        <v>15</v>
      </c>
      <c r="BF39" s="45" t="s">
        <v>7</v>
      </c>
      <c r="BG39" s="45" t="s">
        <v>126</v>
      </c>
      <c r="BI39" s="47"/>
    </row>
    <row r="40" spans="1:61" ht="15">
      <c r="A40" s="44" t="s">
        <v>185</v>
      </c>
      <c r="B40" s="44" t="s">
        <v>130</v>
      </c>
      <c r="O40" s="45">
        <v>1500</v>
      </c>
      <c r="P40" s="45" t="s">
        <v>4</v>
      </c>
      <c r="Q40" s="45">
        <v>320</v>
      </c>
      <c r="AB40" s="45" t="s">
        <v>57</v>
      </c>
      <c r="AC40" s="45">
        <v>6.4</v>
      </c>
      <c r="AD40" s="45" t="s">
        <v>57</v>
      </c>
      <c r="AE40" s="45" t="s">
        <v>57</v>
      </c>
      <c r="AR40" s="45" t="s">
        <v>7</v>
      </c>
      <c r="AS40" s="45" t="s">
        <v>7</v>
      </c>
      <c r="AT40" s="47">
        <f>0.35/10</f>
        <v>0.034999999999999996</v>
      </c>
      <c r="AU40" s="45">
        <f>170/10</f>
        <v>17</v>
      </c>
      <c r="AV40" s="45" t="s">
        <v>3</v>
      </c>
      <c r="AW40" s="45">
        <f>250/10</f>
        <v>25</v>
      </c>
      <c r="AX40" s="45">
        <f>17/10</f>
        <v>1.7</v>
      </c>
      <c r="AY40" s="45" t="s">
        <v>125</v>
      </c>
      <c r="AZ40" s="48">
        <f>0.024/10*1000</f>
        <v>2.4000000000000004</v>
      </c>
      <c r="BA40" s="45">
        <f>6600/10</f>
        <v>660</v>
      </c>
      <c r="BB40" s="53" t="s">
        <v>125</v>
      </c>
      <c r="BC40" s="45" t="s">
        <v>7</v>
      </c>
      <c r="BD40" s="45" t="s">
        <v>7</v>
      </c>
      <c r="BE40" s="45">
        <f>150/10</f>
        <v>15</v>
      </c>
      <c r="BF40" s="45" t="s">
        <v>7</v>
      </c>
      <c r="BG40" s="45" t="s">
        <v>126</v>
      </c>
      <c r="BI40" s="47"/>
    </row>
    <row r="41" spans="1:61" ht="15">
      <c r="A41" s="44" t="s">
        <v>185</v>
      </c>
      <c r="B41" s="44" t="s">
        <v>131</v>
      </c>
      <c r="O41" s="45">
        <v>610</v>
      </c>
      <c r="P41" s="45" t="s">
        <v>4</v>
      </c>
      <c r="Q41" s="45">
        <v>190</v>
      </c>
      <c r="AB41" s="45" t="s">
        <v>57</v>
      </c>
      <c r="AC41" s="45" t="s">
        <v>57</v>
      </c>
      <c r="AD41" s="45" t="s">
        <v>57</v>
      </c>
      <c r="AE41" s="45" t="s">
        <v>57</v>
      </c>
      <c r="AR41" s="45" t="s">
        <v>7</v>
      </c>
      <c r="AS41" s="45" t="s">
        <v>7</v>
      </c>
      <c r="AT41" s="47">
        <f>0.33/10</f>
        <v>0.033</v>
      </c>
      <c r="AU41" s="45">
        <f>150/10</f>
        <v>15</v>
      </c>
      <c r="AV41" s="45" t="s">
        <v>3</v>
      </c>
      <c r="AW41" s="45">
        <f>190/10</f>
        <v>19</v>
      </c>
      <c r="AX41" s="45">
        <f>13/10</f>
        <v>1.3</v>
      </c>
      <c r="AY41" s="45" t="s">
        <v>125</v>
      </c>
      <c r="AZ41" s="48">
        <f>0.019/10*1000</f>
        <v>1.9</v>
      </c>
      <c r="BA41" s="45">
        <f>3900/10</f>
        <v>390</v>
      </c>
      <c r="BB41" s="53" t="s">
        <v>125</v>
      </c>
      <c r="BC41" s="45" t="s">
        <v>7</v>
      </c>
      <c r="BD41" s="45" t="s">
        <v>7</v>
      </c>
      <c r="BE41" s="45">
        <f>120/10</f>
        <v>12</v>
      </c>
      <c r="BF41" s="45" t="s">
        <v>7</v>
      </c>
      <c r="BG41" s="45" t="s">
        <v>126</v>
      </c>
      <c r="BI41" s="47"/>
    </row>
    <row r="42" spans="1:61" ht="15">
      <c r="A42" s="44" t="s">
        <v>185</v>
      </c>
      <c r="B42" s="44" t="s">
        <v>132</v>
      </c>
      <c r="O42" s="45">
        <v>1200</v>
      </c>
      <c r="P42" s="45" t="s">
        <v>4</v>
      </c>
      <c r="Q42" s="45">
        <v>320</v>
      </c>
      <c r="AB42" s="45" t="s">
        <v>57</v>
      </c>
      <c r="AC42" s="45">
        <v>5.1</v>
      </c>
      <c r="AD42" s="45" t="s">
        <v>57</v>
      </c>
      <c r="AE42" s="45" t="s">
        <v>57</v>
      </c>
      <c r="AR42" s="45" t="s">
        <v>7</v>
      </c>
      <c r="AS42" s="45" t="s">
        <v>7</v>
      </c>
      <c r="AT42" s="47">
        <f>0.4/10</f>
        <v>0.04</v>
      </c>
      <c r="AU42" s="45">
        <f>170/10</f>
        <v>17</v>
      </c>
      <c r="AV42" s="45" t="s">
        <v>3</v>
      </c>
      <c r="AW42" s="45">
        <f>230/10</f>
        <v>23</v>
      </c>
      <c r="AX42" s="45">
        <f>16/10</f>
        <v>1.6</v>
      </c>
      <c r="AY42" s="45" t="s">
        <v>125</v>
      </c>
      <c r="AZ42" s="48">
        <f>0.02/10*1000</f>
        <v>2</v>
      </c>
      <c r="BA42" s="45">
        <f>6700/10</f>
        <v>670</v>
      </c>
      <c r="BB42" s="53">
        <f>0.013/10</f>
        <v>0.0013</v>
      </c>
      <c r="BC42" s="45" t="s">
        <v>7</v>
      </c>
      <c r="BD42" s="45" t="s">
        <v>7</v>
      </c>
      <c r="BE42" s="45">
        <f>140/10</f>
        <v>14</v>
      </c>
      <c r="BF42" s="45" t="s">
        <v>7</v>
      </c>
      <c r="BG42" s="45" t="s">
        <v>126</v>
      </c>
      <c r="BI42" s="47"/>
    </row>
    <row r="43" spans="1:61" ht="15">
      <c r="A43" s="44" t="s">
        <v>185</v>
      </c>
      <c r="B43" s="44" t="s">
        <v>133</v>
      </c>
      <c r="O43" s="45">
        <v>630</v>
      </c>
      <c r="P43" s="45" t="s">
        <v>4</v>
      </c>
      <c r="Q43" s="45">
        <v>250</v>
      </c>
      <c r="AB43" s="45" t="s">
        <v>57</v>
      </c>
      <c r="AC43" s="45">
        <v>0.5</v>
      </c>
      <c r="AD43" s="45" t="s">
        <v>57</v>
      </c>
      <c r="AE43" s="45" t="s">
        <v>57</v>
      </c>
      <c r="AR43" s="45" t="s">
        <v>7</v>
      </c>
      <c r="AS43" s="45" t="s">
        <v>7</v>
      </c>
      <c r="AT43" s="47">
        <f>0.34/10</f>
        <v>0.034</v>
      </c>
      <c r="AU43" s="45">
        <f>160/10</f>
        <v>16</v>
      </c>
      <c r="AV43" s="45" t="s">
        <v>3</v>
      </c>
      <c r="AW43" s="45">
        <f>200/10</f>
        <v>20</v>
      </c>
      <c r="AX43" s="45">
        <f>14/10</f>
        <v>1.4</v>
      </c>
      <c r="AY43" s="45" t="s">
        <v>125</v>
      </c>
      <c r="AZ43" s="48">
        <f>0.022/10*1000</f>
        <v>2.1999999999999997</v>
      </c>
      <c r="BA43" s="45">
        <f>4300/10</f>
        <v>430</v>
      </c>
      <c r="BB43" s="53" t="s">
        <v>125</v>
      </c>
      <c r="BC43" s="45" t="s">
        <v>7</v>
      </c>
      <c r="BD43" s="45" t="s">
        <v>7</v>
      </c>
      <c r="BE43" s="45">
        <f>120/10</f>
        <v>12</v>
      </c>
      <c r="BF43" s="45" t="s">
        <v>7</v>
      </c>
      <c r="BG43" s="45" t="s">
        <v>126</v>
      </c>
      <c r="BI43" s="47"/>
    </row>
    <row r="44" spans="1:61" ht="15">
      <c r="A44" s="44" t="s">
        <v>185</v>
      </c>
      <c r="B44" s="44" t="s">
        <v>134</v>
      </c>
      <c r="O44" s="45">
        <v>1400</v>
      </c>
      <c r="P44" s="45" t="s">
        <v>4</v>
      </c>
      <c r="Q44" s="45">
        <v>310</v>
      </c>
      <c r="AB44" s="45" t="s">
        <v>57</v>
      </c>
      <c r="AC44" s="45">
        <v>6.6</v>
      </c>
      <c r="AD44" s="45" t="s">
        <v>57</v>
      </c>
      <c r="AE44" s="45" t="s">
        <v>57</v>
      </c>
      <c r="AR44" s="45" t="s">
        <v>7</v>
      </c>
      <c r="AS44" s="45" t="s">
        <v>7</v>
      </c>
      <c r="AT44" s="47">
        <f>0.38/10</f>
        <v>0.038</v>
      </c>
      <c r="AU44" s="45">
        <f>180/10</f>
        <v>18</v>
      </c>
      <c r="AV44" s="45" t="s">
        <v>3</v>
      </c>
      <c r="AW44" s="45">
        <f>250/10</f>
        <v>25</v>
      </c>
      <c r="AX44" s="45">
        <f>17/10</f>
        <v>1.7</v>
      </c>
      <c r="AY44" s="45" t="s">
        <v>125</v>
      </c>
      <c r="AZ44" s="48">
        <f>0.023/10*1000</f>
        <v>2.3</v>
      </c>
      <c r="BA44" s="45">
        <f>6500/10</f>
        <v>650</v>
      </c>
      <c r="BB44" s="53" t="s">
        <v>125</v>
      </c>
      <c r="BC44" s="45" t="s">
        <v>7</v>
      </c>
      <c r="BD44" s="45" t="s">
        <v>7</v>
      </c>
      <c r="BE44" s="45">
        <f>150/10</f>
        <v>15</v>
      </c>
      <c r="BF44" s="45" t="s">
        <v>7</v>
      </c>
      <c r="BG44" s="45" t="s">
        <v>126</v>
      </c>
      <c r="BI44" s="47"/>
    </row>
    <row r="45" spans="1:61" ht="15">
      <c r="A45" s="44" t="s">
        <v>185</v>
      </c>
      <c r="B45" s="44" t="s">
        <v>135</v>
      </c>
      <c r="O45" s="45">
        <v>1300</v>
      </c>
      <c r="P45" s="45" t="s">
        <v>4</v>
      </c>
      <c r="Q45" s="45">
        <v>320</v>
      </c>
      <c r="AB45" s="45" t="s">
        <v>57</v>
      </c>
      <c r="AC45" s="45">
        <v>5.8</v>
      </c>
      <c r="AD45" s="45" t="s">
        <v>57</v>
      </c>
      <c r="AE45" s="45" t="s">
        <v>57</v>
      </c>
      <c r="AR45" s="45" t="s">
        <v>7</v>
      </c>
      <c r="AS45" s="45" t="s">
        <v>7</v>
      </c>
      <c r="AT45" s="47">
        <f>0.41/10</f>
        <v>0.040999999999999995</v>
      </c>
      <c r="AU45" s="45">
        <f>180/10</f>
        <v>18</v>
      </c>
      <c r="AV45" s="45" t="s">
        <v>3</v>
      </c>
      <c r="AW45" s="45">
        <f>260/10</f>
        <v>26</v>
      </c>
      <c r="AX45" s="45">
        <f>18/10</f>
        <v>1.8</v>
      </c>
      <c r="AY45" s="45" t="s">
        <v>125</v>
      </c>
      <c r="AZ45" s="48">
        <f>0.027/10*1000</f>
        <v>2.7</v>
      </c>
      <c r="BA45" s="45">
        <f>6500/10</f>
        <v>650</v>
      </c>
      <c r="BB45" s="53" t="s">
        <v>125</v>
      </c>
      <c r="BC45" s="45" t="s">
        <v>7</v>
      </c>
      <c r="BD45" s="45" t="s">
        <v>7</v>
      </c>
      <c r="BE45" s="45">
        <f>160/10</f>
        <v>16</v>
      </c>
      <c r="BF45" s="45" t="s">
        <v>7</v>
      </c>
      <c r="BG45" s="45" t="s">
        <v>126</v>
      </c>
      <c r="BI45" s="47"/>
    </row>
    <row r="46" spans="1:110" ht="15">
      <c r="A46" s="40" t="s">
        <v>186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</row>
    <row r="47" spans="1:110" ht="15">
      <c r="A47" s="44" t="s">
        <v>187</v>
      </c>
      <c r="B47" s="44" t="s">
        <v>2</v>
      </c>
      <c r="C47" s="45">
        <v>84.4</v>
      </c>
      <c r="D47" s="45">
        <v>3.2</v>
      </c>
      <c r="E47" s="45">
        <v>5.1</v>
      </c>
      <c r="F47" s="45">
        <v>0.1</v>
      </c>
      <c r="G47" s="45" t="s">
        <v>3</v>
      </c>
      <c r="H47" s="45" t="s">
        <v>3</v>
      </c>
      <c r="I47" s="45" t="s">
        <v>3</v>
      </c>
      <c r="J47" s="45" t="s">
        <v>3</v>
      </c>
      <c r="K47" s="45">
        <v>4.9</v>
      </c>
      <c r="L47" s="45">
        <v>4.9</v>
      </c>
      <c r="M47" s="45">
        <v>0.1</v>
      </c>
      <c r="N47" s="45">
        <v>1.1</v>
      </c>
      <c r="O47" s="45">
        <v>45</v>
      </c>
      <c r="P47" s="45" t="s">
        <v>4</v>
      </c>
      <c r="Q47" s="45">
        <v>29</v>
      </c>
      <c r="R47" s="45" t="s">
        <v>175</v>
      </c>
      <c r="T47" s="45">
        <v>0.02</v>
      </c>
      <c r="U47" s="45">
        <v>0.22</v>
      </c>
      <c r="V47" s="45" t="s">
        <v>7</v>
      </c>
      <c r="W47" s="45">
        <v>0.36</v>
      </c>
      <c r="X47" s="45">
        <v>0.03</v>
      </c>
      <c r="Y47" s="45">
        <v>24.7</v>
      </c>
      <c r="Z47" s="45">
        <v>0.5</v>
      </c>
      <c r="AB47" s="45" t="s">
        <v>3</v>
      </c>
      <c r="AC47" s="45" t="s">
        <v>3</v>
      </c>
      <c r="AD47" s="45" t="s">
        <v>3</v>
      </c>
      <c r="AE47" s="45" t="s">
        <v>3</v>
      </c>
      <c r="AF47" s="45" t="s">
        <v>5</v>
      </c>
      <c r="AG47" s="45" t="s">
        <v>5</v>
      </c>
      <c r="AH47" s="45" t="s">
        <v>5</v>
      </c>
      <c r="AI47" s="45" t="s">
        <v>5</v>
      </c>
      <c r="AK47" s="45" t="s">
        <v>6</v>
      </c>
      <c r="AL47" s="45" t="s">
        <v>6</v>
      </c>
      <c r="AM47" s="45">
        <v>1.2</v>
      </c>
      <c r="AN47" s="45">
        <v>0.2</v>
      </c>
      <c r="AO47" s="45" t="s">
        <v>6</v>
      </c>
      <c r="AP47" s="45">
        <f>0.66*100</f>
        <v>66</v>
      </c>
      <c r="AQ47" s="51">
        <f>0.34/10*1000</f>
        <v>34</v>
      </c>
      <c r="AR47" s="45" t="s">
        <v>7</v>
      </c>
      <c r="AS47" s="45">
        <f>0.024/10*1000</f>
        <v>2.4000000000000004</v>
      </c>
      <c r="AT47" s="47">
        <f>5.7/10</f>
        <v>0.5700000000000001</v>
      </c>
      <c r="AU47" s="45">
        <f>1400/10</f>
        <v>140</v>
      </c>
      <c r="AV47" s="45" t="s">
        <v>3</v>
      </c>
      <c r="AW47" s="45">
        <f>2300/10</f>
        <v>230</v>
      </c>
      <c r="AX47" s="45">
        <f>150/10</f>
        <v>15</v>
      </c>
      <c r="AY47" s="53">
        <f>0.044/10</f>
        <v>0.004399999999999999</v>
      </c>
      <c r="AZ47" s="45">
        <f>0.054/10*1000</f>
        <v>5.4</v>
      </c>
      <c r="BA47" s="45">
        <f>580/10</f>
        <v>58</v>
      </c>
      <c r="BB47" s="53">
        <f>0.062/10</f>
        <v>0.0062</v>
      </c>
      <c r="BC47" s="45" t="s">
        <v>7</v>
      </c>
      <c r="BD47" s="45" t="s">
        <v>7</v>
      </c>
      <c r="BE47" s="45">
        <f>1700/10</f>
        <v>170</v>
      </c>
      <c r="BF47" s="45" t="s">
        <v>7</v>
      </c>
      <c r="BG47" s="45" t="s">
        <v>126</v>
      </c>
      <c r="BH47" s="45">
        <v>15</v>
      </c>
      <c r="BI47" s="46">
        <v>0.0256</v>
      </c>
      <c r="BJ47" s="46">
        <v>0.086</v>
      </c>
      <c r="BK47" s="46">
        <f>0.0832</f>
        <v>0.0832</v>
      </c>
      <c r="BL47" s="46">
        <v>0</v>
      </c>
      <c r="BM47" s="46">
        <v>0.0832</v>
      </c>
      <c r="BN47" s="46">
        <v>0.0608</v>
      </c>
      <c r="BO47" s="46">
        <v>0.73</v>
      </c>
      <c r="BP47" s="46">
        <v>2.301</v>
      </c>
      <c r="BQ47" s="45">
        <v>2.4</v>
      </c>
      <c r="BR47" s="45">
        <v>2</v>
      </c>
      <c r="BS47" s="45">
        <v>1.2</v>
      </c>
      <c r="BT47" s="48">
        <v>3</v>
      </c>
      <c r="BU47" s="45">
        <v>3.8</v>
      </c>
      <c r="BV47" s="48">
        <v>12.3</v>
      </c>
      <c r="BW47" s="45">
        <v>1.4</v>
      </c>
      <c r="BX47" s="45">
        <v>33.3</v>
      </c>
      <c r="BY47" s="45">
        <v>0.8</v>
      </c>
      <c r="BZ47" s="45">
        <v>11.5</v>
      </c>
      <c r="CA47" s="45">
        <v>0.2</v>
      </c>
      <c r="CB47" s="45" t="s">
        <v>5</v>
      </c>
      <c r="CC47" s="45" t="s">
        <v>5</v>
      </c>
      <c r="CD47" s="45">
        <v>1</v>
      </c>
      <c r="CE47" s="45">
        <v>2</v>
      </c>
      <c r="CF47" s="45" t="s">
        <v>5</v>
      </c>
      <c r="CG47" s="45">
        <v>19.8</v>
      </c>
      <c r="CH47" s="45" t="s">
        <v>5</v>
      </c>
      <c r="CI47" s="45" t="s">
        <v>5</v>
      </c>
      <c r="CJ47" s="45" t="s">
        <v>5</v>
      </c>
      <c r="CK47" s="3">
        <v>1.9</v>
      </c>
      <c r="CL47" s="3" t="s">
        <v>5</v>
      </c>
      <c r="CM47" s="3">
        <v>0.8</v>
      </c>
      <c r="CN47" s="3" t="s">
        <v>5</v>
      </c>
      <c r="CO47" s="3" t="s">
        <v>5</v>
      </c>
      <c r="CP47" s="3" t="s">
        <v>5</v>
      </c>
      <c r="CQ47" s="3" t="s">
        <v>5</v>
      </c>
      <c r="CR47" s="3" t="s">
        <v>5</v>
      </c>
      <c r="CS47" s="3" t="s">
        <v>5</v>
      </c>
      <c r="CT47" s="3" t="s">
        <v>5</v>
      </c>
      <c r="CU47" s="3" t="s">
        <v>5</v>
      </c>
      <c r="CV47" s="3" t="s">
        <v>5</v>
      </c>
      <c r="CW47" s="45">
        <v>0.2</v>
      </c>
      <c r="CX47" s="45" t="s">
        <v>5</v>
      </c>
      <c r="CY47" s="45">
        <v>2.4</v>
      </c>
      <c r="CZ47" s="45" t="s">
        <v>5</v>
      </c>
      <c r="DA47" s="45" t="s">
        <v>5</v>
      </c>
      <c r="DB47" s="45" t="s">
        <v>5</v>
      </c>
      <c r="DC47" s="45" t="s">
        <v>5</v>
      </c>
      <c r="DD47" s="45" t="s">
        <v>5</v>
      </c>
      <c r="DE47" s="45" t="s">
        <v>5</v>
      </c>
      <c r="DF47" s="45" t="s">
        <v>5</v>
      </c>
    </row>
    <row r="48" spans="1:74" ht="15">
      <c r="A48" s="44" t="s">
        <v>188</v>
      </c>
      <c r="B48" s="44" t="s">
        <v>2</v>
      </c>
      <c r="C48" s="45">
        <v>90.4</v>
      </c>
      <c r="D48" s="45" t="s">
        <v>3</v>
      </c>
      <c r="E48" s="45">
        <v>3.6</v>
      </c>
      <c r="G48" s="45" t="s">
        <v>3</v>
      </c>
      <c r="H48" s="45" t="s">
        <v>3</v>
      </c>
      <c r="I48" s="45" t="s">
        <v>3</v>
      </c>
      <c r="J48" s="45" t="s">
        <v>3</v>
      </c>
      <c r="K48" s="45">
        <v>5.3</v>
      </c>
      <c r="L48" s="45">
        <v>5.3</v>
      </c>
      <c r="N48" s="45">
        <v>0.5</v>
      </c>
      <c r="P48" s="45" t="s">
        <v>4</v>
      </c>
      <c r="Q48" s="45" t="s">
        <v>4</v>
      </c>
      <c r="R48" s="45" t="s">
        <v>175</v>
      </c>
      <c r="T48" s="45">
        <v>0.02</v>
      </c>
      <c r="U48" s="45">
        <v>0.17</v>
      </c>
      <c r="V48" s="45" t="s">
        <v>5</v>
      </c>
      <c r="W48" s="45">
        <v>0.3</v>
      </c>
      <c r="X48" s="45">
        <v>0.02</v>
      </c>
      <c r="Y48" s="45">
        <v>10.6</v>
      </c>
      <c r="Z48" s="45">
        <v>0.8</v>
      </c>
      <c r="AA48" s="45" t="s">
        <v>5</v>
      </c>
      <c r="AB48" s="45" t="s">
        <v>5</v>
      </c>
      <c r="AC48" s="45">
        <v>0.2</v>
      </c>
      <c r="AD48" s="45" t="s">
        <v>5</v>
      </c>
      <c r="AE48" s="45" t="s">
        <v>5</v>
      </c>
      <c r="AF48" s="45" t="s">
        <v>5</v>
      </c>
      <c r="AG48" s="45" t="s">
        <v>5</v>
      </c>
      <c r="AH48" s="45" t="s">
        <v>5</v>
      </c>
      <c r="AI48" s="45" t="s">
        <v>5</v>
      </c>
      <c r="AP48" s="46">
        <v>0.52</v>
      </c>
      <c r="AQ48" s="51">
        <v>25</v>
      </c>
      <c r="AR48" s="45" t="s">
        <v>7</v>
      </c>
      <c r="AS48" s="45">
        <v>1.7000000000000002</v>
      </c>
      <c r="AT48" s="47">
        <v>0.4</v>
      </c>
      <c r="AU48" s="45">
        <v>96</v>
      </c>
      <c r="AV48" s="45" t="s">
        <v>3</v>
      </c>
      <c r="AW48" s="45">
        <v>160</v>
      </c>
      <c r="AX48" s="45">
        <v>11</v>
      </c>
      <c r="AY48" s="53">
        <v>0.0033</v>
      </c>
      <c r="AZ48" s="45">
        <v>2.6</v>
      </c>
      <c r="BA48" s="45">
        <v>38</v>
      </c>
      <c r="BB48" s="53">
        <v>0.0035000000000000005</v>
      </c>
      <c r="BC48" s="45" t="s">
        <v>7</v>
      </c>
      <c r="BD48" s="45" t="s">
        <v>7</v>
      </c>
      <c r="BE48" s="45">
        <v>120</v>
      </c>
      <c r="BF48" s="45" t="s">
        <v>7</v>
      </c>
      <c r="BG48" s="45" t="s">
        <v>126</v>
      </c>
      <c r="BH48" s="45">
        <v>2.8</v>
      </c>
      <c r="BI48" s="47"/>
      <c r="BT48" s="48"/>
      <c r="BV48" s="48"/>
    </row>
    <row r="49" spans="1:110" ht="15">
      <c r="A49" s="40" t="s">
        <v>115</v>
      </c>
      <c r="B49" s="52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4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5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5"/>
      <c r="BU49" s="50"/>
      <c r="BV49" s="55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</row>
    <row r="50" spans="1:110" ht="15">
      <c r="A50" s="44" t="s">
        <v>189</v>
      </c>
      <c r="B50" s="44" t="s">
        <v>2</v>
      </c>
      <c r="C50" s="45">
        <v>58.8</v>
      </c>
      <c r="D50" s="45">
        <v>1.1</v>
      </c>
      <c r="E50" s="45">
        <v>4.1</v>
      </c>
      <c r="F50" s="45">
        <v>33.2</v>
      </c>
      <c r="G50" s="45" t="s">
        <v>3</v>
      </c>
      <c r="H50" s="45" t="s">
        <v>3</v>
      </c>
      <c r="I50" s="45">
        <v>0.3</v>
      </c>
      <c r="J50" s="45" t="s">
        <v>3</v>
      </c>
      <c r="K50" s="45" t="s">
        <v>3</v>
      </c>
      <c r="L50" s="45" t="s">
        <v>7</v>
      </c>
      <c r="M50" s="45">
        <v>1.7</v>
      </c>
      <c r="N50" s="45">
        <v>0.7</v>
      </c>
      <c r="P50" s="45" t="s">
        <v>4</v>
      </c>
      <c r="Q50" s="45" t="s">
        <v>4</v>
      </c>
      <c r="R50" s="45" t="s">
        <v>175</v>
      </c>
      <c r="T50" s="45">
        <v>0.14</v>
      </c>
      <c r="U50" s="45" t="s">
        <v>6</v>
      </c>
      <c r="V50" s="45">
        <v>3.5</v>
      </c>
      <c r="W50" s="45">
        <v>0.13</v>
      </c>
      <c r="X50" s="45" t="s">
        <v>6</v>
      </c>
      <c r="Y50" s="45">
        <v>12.4</v>
      </c>
      <c r="AA50" s="45" t="s">
        <v>7</v>
      </c>
      <c r="AF50" s="45">
        <v>0.2</v>
      </c>
      <c r="AG50" s="45" t="s">
        <v>5</v>
      </c>
      <c r="AH50" s="45" t="s">
        <v>5</v>
      </c>
      <c r="AI50" s="45" t="s">
        <v>5</v>
      </c>
      <c r="AP50" s="45">
        <f>0.46*100</f>
        <v>46</v>
      </c>
      <c r="AQ50" s="48">
        <f>0.098/10*1000</f>
        <v>9.799999999999999</v>
      </c>
      <c r="AR50" s="45">
        <f>0.045/10*1000</f>
        <v>4.5</v>
      </c>
      <c r="AS50" s="45">
        <f>0.042/10*1000</f>
        <v>4.2</v>
      </c>
      <c r="AT50" s="47">
        <f>9.5/10</f>
        <v>0.95</v>
      </c>
      <c r="AU50" s="45">
        <f>1600/10</f>
        <v>160</v>
      </c>
      <c r="AV50" s="45">
        <f>5.9/10</f>
        <v>0.5900000000000001</v>
      </c>
      <c r="AW50" s="45">
        <f>1100/10</f>
        <v>110</v>
      </c>
      <c r="AX50" s="45">
        <f>720/10</f>
        <v>72</v>
      </c>
      <c r="AY50" s="45">
        <f>17/10</f>
        <v>1.7</v>
      </c>
      <c r="AZ50" s="45">
        <f>0.24/10*1000</f>
        <v>24</v>
      </c>
      <c r="BA50" s="45">
        <f>15/10</f>
        <v>1.5</v>
      </c>
      <c r="BB50" s="45">
        <f>2.5/10</f>
        <v>0.25</v>
      </c>
      <c r="BC50" s="45" t="s">
        <v>7</v>
      </c>
      <c r="BD50" s="45">
        <f>0.039/10*1000</f>
        <v>3.9</v>
      </c>
      <c r="BE50" s="45">
        <f>66/10</f>
        <v>6.6</v>
      </c>
      <c r="BF50" s="45">
        <f>0.11/10*1000</f>
        <v>11</v>
      </c>
      <c r="BG50" s="45">
        <f>0.64/10*1000</f>
        <v>64</v>
      </c>
      <c r="BI50" s="46">
        <v>0.0154</v>
      </c>
      <c r="BJ50" s="46">
        <v>0.4323</v>
      </c>
      <c r="BK50" s="46">
        <v>0</v>
      </c>
      <c r="BL50" s="46">
        <v>0</v>
      </c>
      <c r="BM50" s="46">
        <v>0</v>
      </c>
      <c r="BN50" s="46">
        <v>0.4169</v>
      </c>
      <c r="BO50" s="46">
        <v>0.3927</v>
      </c>
      <c r="BP50" s="46">
        <v>0.2728</v>
      </c>
      <c r="BQ50" s="45" t="s">
        <v>5</v>
      </c>
      <c r="BR50" s="45" t="s">
        <v>5</v>
      </c>
      <c r="BS50" s="45" t="s">
        <v>5</v>
      </c>
      <c r="BT50" s="48" t="s">
        <v>5</v>
      </c>
      <c r="BU50" s="45" t="s">
        <v>5</v>
      </c>
      <c r="BV50" s="48">
        <v>0.7</v>
      </c>
      <c r="BW50" s="45" t="s">
        <v>5</v>
      </c>
      <c r="BX50" s="45">
        <v>21.2</v>
      </c>
      <c r="BY50" s="45" t="s">
        <v>5</v>
      </c>
      <c r="BZ50" s="45">
        <v>1.7</v>
      </c>
      <c r="CA50" s="45">
        <v>0.5</v>
      </c>
      <c r="CB50" s="45">
        <v>0.2</v>
      </c>
      <c r="CC50" s="45">
        <v>0.5</v>
      </c>
      <c r="CD50" s="45" t="s">
        <v>5</v>
      </c>
      <c r="CE50" s="45">
        <v>0.2</v>
      </c>
      <c r="CF50" s="45" t="s">
        <v>5</v>
      </c>
      <c r="CG50" s="45">
        <v>35</v>
      </c>
      <c r="CH50" s="45">
        <v>0.4</v>
      </c>
      <c r="CI50" s="45" t="s">
        <v>5</v>
      </c>
      <c r="CJ50" s="45" t="s">
        <v>5</v>
      </c>
      <c r="CK50" s="3">
        <v>37.9</v>
      </c>
      <c r="CL50" s="3" t="s">
        <v>5</v>
      </c>
      <c r="CM50" s="3">
        <v>1.4</v>
      </c>
      <c r="CN50" s="3" t="s">
        <v>5</v>
      </c>
      <c r="CO50" s="3" t="s">
        <v>5</v>
      </c>
      <c r="CP50" s="3" t="s">
        <v>5</v>
      </c>
      <c r="CQ50" s="3" t="s">
        <v>5</v>
      </c>
      <c r="CR50" s="3" t="s">
        <v>5</v>
      </c>
      <c r="CS50" s="3" t="s">
        <v>5</v>
      </c>
      <c r="CT50" s="3" t="s">
        <v>5</v>
      </c>
      <c r="CU50" s="3" t="s">
        <v>5</v>
      </c>
      <c r="CV50" s="3" t="s">
        <v>5</v>
      </c>
      <c r="CW50" s="45" t="s">
        <v>5</v>
      </c>
      <c r="CX50" s="45" t="s">
        <v>5</v>
      </c>
      <c r="CY50" s="45" t="s">
        <v>5</v>
      </c>
      <c r="CZ50" s="45" t="s">
        <v>5</v>
      </c>
      <c r="DA50" s="45" t="s">
        <v>5</v>
      </c>
      <c r="DB50" s="45" t="s">
        <v>5</v>
      </c>
      <c r="DC50" s="45" t="s">
        <v>5</v>
      </c>
      <c r="DD50" s="45" t="s">
        <v>5</v>
      </c>
      <c r="DE50" s="45" t="s">
        <v>5</v>
      </c>
      <c r="DF50" s="45" t="s">
        <v>5</v>
      </c>
    </row>
    <row r="51" spans="1:110" ht="15">
      <c r="A51" s="40" t="s">
        <v>190</v>
      </c>
      <c r="B51" s="52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4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6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5"/>
      <c r="BU51" s="50"/>
      <c r="BV51" s="55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</row>
    <row r="52" spans="1:74" ht="15">
      <c r="A52" s="44" t="s">
        <v>191</v>
      </c>
      <c r="B52" s="44" t="s">
        <v>2</v>
      </c>
      <c r="C52" s="45">
        <v>47.9</v>
      </c>
      <c r="D52" s="45">
        <v>13.9</v>
      </c>
      <c r="E52" s="45">
        <v>30.4</v>
      </c>
      <c r="G52" s="45" t="s">
        <v>3</v>
      </c>
      <c r="H52" s="45">
        <v>0.4</v>
      </c>
      <c r="I52" s="45">
        <v>0.5</v>
      </c>
      <c r="J52" s="45" t="s">
        <v>3</v>
      </c>
      <c r="K52" s="45" t="s">
        <v>3</v>
      </c>
      <c r="L52" s="45" t="s">
        <v>7</v>
      </c>
      <c r="N52" s="45">
        <v>6.7</v>
      </c>
      <c r="AQ52" s="48">
        <f>0.052/10*1000</f>
        <v>5.2</v>
      </c>
      <c r="AR52" s="45" t="s">
        <v>7</v>
      </c>
      <c r="AS52" s="45">
        <f>0.28/10*1000</f>
        <v>28.000000000000004</v>
      </c>
      <c r="AT52" s="46">
        <f>21/10</f>
        <v>2.1</v>
      </c>
      <c r="AU52" s="45">
        <f>5000/10</f>
        <v>500</v>
      </c>
      <c r="AV52" s="45">
        <f>6.4/10</f>
        <v>0.64</v>
      </c>
      <c r="AW52" s="45">
        <f>4500/10</f>
        <v>450</v>
      </c>
      <c r="AX52" s="45">
        <f>300/10</f>
        <v>30</v>
      </c>
      <c r="AY52" s="45">
        <f>0.12/10</f>
        <v>0.012</v>
      </c>
      <c r="AZ52" s="45">
        <f>0.018/10*1000</f>
        <v>1.8</v>
      </c>
      <c r="BA52" s="45">
        <f>20000/10</f>
        <v>2000</v>
      </c>
      <c r="BB52" s="45">
        <f>0.48/10</f>
        <v>0.048</v>
      </c>
      <c r="BC52" s="45" t="s">
        <v>7</v>
      </c>
      <c r="BD52" s="45">
        <f>0.053/10*1000</f>
        <v>5.3</v>
      </c>
      <c r="BE52" s="45">
        <f>80/10</f>
        <v>8</v>
      </c>
      <c r="BF52" s="45" t="s">
        <v>7</v>
      </c>
      <c r="BG52" s="45">
        <f>1.6/10*1000</f>
        <v>160</v>
      </c>
      <c r="BI52" s="47"/>
      <c r="BT52" s="48"/>
      <c r="BV52" s="48"/>
    </row>
    <row r="53" spans="1:110" ht="15">
      <c r="A53" s="44" t="s">
        <v>192</v>
      </c>
      <c r="B53" s="44" t="s">
        <v>2</v>
      </c>
      <c r="C53" s="45">
        <v>52.2</v>
      </c>
      <c r="D53" s="45">
        <v>8.5</v>
      </c>
      <c r="E53" s="45">
        <v>31.2</v>
      </c>
      <c r="G53" s="45" t="s">
        <v>3</v>
      </c>
      <c r="H53" s="45" t="s">
        <v>3</v>
      </c>
      <c r="I53" s="45">
        <v>0.8</v>
      </c>
      <c r="J53" s="45" t="s">
        <v>3</v>
      </c>
      <c r="K53" s="45" t="s">
        <v>3</v>
      </c>
      <c r="L53" s="45" t="s">
        <v>7</v>
      </c>
      <c r="N53" s="45">
        <v>7.3</v>
      </c>
      <c r="O53" s="45" t="s">
        <v>4</v>
      </c>
      <c r="T53" s="45">
        <v>0.66</v>
      </c>
      <c r="U53" s="45">
        <v>0.09</v>
      </c>
      <c r="V53" s="45">
        <v>10</v>
      </c>
      <c r="W53" s="45">
        <v>0.42</v>
      </c>
      <c r="X53" s="45">
        <v>0.08</v>
      </c>
      <c r="Y53" s="45" t="s">
        <v>176</v>
      </c>
      <c r="Z53" s="45">
        <v>0.4</v>
      </c>
      <c r="AB53" s="45" t="s">
        <v>3</v>
      </c>
      <c r="AC53" s="45" t="s">
        <v>3</v>
      </c>
      <c r="AD53" s="45" t="s">
        <v>3</v>
      </c>
      <c r="AE53" s="45" t="s">
        <v>3</v>
      </c>
      <c r="AF53" s="45" t="s">
        <v>5</v>
      </c>
      <c r="AG53" s="45" t="s">
        <v>5</v>
      </c>
      <c r="AH53" s="45" t="s">
        <v>5</v>
      </c>
      <c r="AI53" s="45" t="s">
        <v>5</v>
      </c>
      <c r="AP53" s="45">
        <f>3.58*100</f>
        <v>358</v>
      </c>
      <c r="AQ53" s="48">
        <v>5.1</v>
      </c>
      <c r="AR53" s="45" t="s">
        <v>7</v>
      </c>
      <c r="AS53" s="45">
        <f>0.16/10*1000</f>
        <v>16</v>
      </c>
      <c r="AT53" s="46">
        <f>26/10</f>
        <v>2.6</v>
      </c>
      <c r="AU53" s="45">
        <f>4900/10</f>
        <v>490</v>
      </c>
      <c r="AV53" s="45">
        <f>7.3/10</f>
        <v>0.73</v>
      </c>
      <c r="AW53" s="45">
        <f>4400/10</f>
        <v>440</v>
      </c>
      <c r="AX53" s="45">
        <f>290/10</f>
        <v>29</v>
      </c>
      <c r="AY53" s="45">
        <f>0.13/10</f>
        <v>0.013000000000000001</v>
      </c>
      <c r="AZ53" s="45">
        <f>0.016/10*1000</f>
        <v>1.6</v>
      </c>
      <c r="BA53" s="45">
        <f>22000/10</f>
        <v>2200</v>
      </c>
      <c r="BB53" s="45">
        <f>0.57/10</f>
        <v>0.056999999999999995</v>
      </c>
      <c r="BC53" s="45" t="s">
        <v>7</v>
      </c>
      <c r="BD53" s="45">
        <f>0.022/10*1000</f>
        <v>2.1999999999999997</v>
      </c>
      <c r="BE53" s="45">
        <f>99/10</f>
        <v>9.9</v>
      </c>
      <c r="BF53" s="45" t="s">
        <v>7</v>
      </c>
      <c r="BG53" s="45" t="s">
        <v>126</v>
      </c>
      <c r="BH53" s="45">
        <v>89</v>
      </c>
      <c r="BI53" s="46">
        <v>0.077</v>
      </c>
      <c r="BJ53" s="46">
        <v>0.952</v>
      </c>
      <c r="BK53" s="46">
        <f>0.017+0</f>
        <v>0.017</v>
      </c>
      <c r="BL53" s="46">
        <v>0</v>
      </c>
      <c r="BM53" s="46">
        <v>0.017</v>
      </c>
      <c r="BN53" s="46">
        <v>0.876</v>
      </c>
      <c r="BO53" s="46">
        <v>4.063</v>
      </c>
      <c r="BP53" s="46">
        <v>3.477</v>
      </c>
      <c r="BQ53" s="45" t="s">
        <v>5</v>
      </c>
      <c r="BR53" s="45" t="s">
        <v>5</v>
      </c>
      <c r="BS53" s="45" t="s">
        <v>5</v>
      </c>
      <c r="BT53" s="48" t="s">
        <v>5</v>
      </c>
      <c r="BU53" s="45" t="s">
        <v>5</v>
      </c>
      <c r="BV53" s="48">
        <v>1.2</v>
      </c>
      <c r="BW53" s="45" t="s">
        <v>5</v>
      </c>
      <c r="BX53" s="45">
        <v>24.7</v>
      </c>
      <c r="BY53" s="45">
        <v>0.3</v>
      </c>
      <c r="BZ53" s="45">
        <v>14</v>
      </c>
      <c r="CA53" s="45">
        <v>0.2</v>
      </c>
      <c r="CB53" s="45" t="s">
        <v>5</v>
      </c>
      <c r="CC53" s="45">
        <v>0.2</v>
      </c>
      <c r="CD53" s="45" t="s">
        <v>5</v>
      </c>
      <c r="CE53" s="45">
        <v>2.7</v>
      </c>
      <c r="CF53" s="45" t="s">
        <v>5</v>
      </c>
      <c r="CG53" s="45">
        <v>44.2</v>
      </c>
      <c r="CH53" s="45">
        <v>0.8</v>
      </c>
      <c r="CI53" s="45" t="s">
        <v>5</v>
      </c>
      <c r="CJ53" s="45" t="s">
        <v>5</v>
      </c>
      <c r="CK53" s="3">
        <v>8.8</v>
      </c>
      <c r="CL53" s="3" t="s">
        <v>5</v>
      </c>
      <c r="CM53" s="3">
        <v>0.5</v>
      </c>
      <c r="CN53" s="3">
        <v>0.4</v>
      </c>
      <c r="CO53" s="3">
        <v>0.2</v>
      </c>
      <c r="CP53" s="3">
        <v>0.1</v>
      </c>
      <c r="CQ53" s="3">
        <v>0.8</v>
      </c>
      <c r="CR53" s="3" t="s">
        <v>5</v>
      </c>
      <c r="CS53" s="3" t="s">
        <v>5</v>
      </c>
      <c r="CT53" s="3">
        <v>0.2</v>
      </c>
      <c r="CU53" s="3">
        <v>0.2</v>
      </c>
      <c r="CV53" s="3" t="s">
        <v>5</v>
      </c>
      <c r="CW53" s="45">
        <v>0.1</v>
      </c>
      <c r="CX53" s="45" t="s">
        <v>5</v>
      </c>
      <c r="CY53" s="45" t="s">
        <v>5</v>
      </c>
      <c r="CZ53" s="45" t="s">
        <v>5</v>
      </c>
      <c r="DA53" s="45" t="s">
        <v>5</v>
      </c>
      <c r="DB53" s="45" t="s">
        <v>5</v>
      </c>
      <c r="DC53" s="45" t="s">
        <v>5</v>
      </c>
      <c r="DD53" s="45" t="s">
        <v>5</v>
      </c>
      <c r="DE53" s="45" t="s">
        <v>5</v>
      </c>
      <c r="DF53" s="45" t="s">
        <v>5</v>
      </c>
    </row>
    <row r="54" spans="1:110" ht="15">
      <c r="A54" s="44" t="s">
        <v>193</v>
      </c>
      <c r="B54" s="44" t="s">
        <v>2</v>
      </c>
      <c r="C54" s="45">
        <v>4.1</v>
      </c>
      <c r="D54" s="45">
        <v>81.1</v>
      </c>
      <c r="E54" s="45">
        <v>11.6</v>
      </c>
      <c r="N54" s="45">
        <v>3.1</v>
      </c>
      <c r="O54" s="45" t="s">
        <v>4</v>
      </c>
      <c r="T54" s="45">
        <v>0.16</v>
      </c>
      <c r="U54" s="45">
        <v>0.05</v>
      </c>
      <c r="V54" s="45">
        <v>4.8</v>
      </c>
      <c r="W54" s="45">
        <v>0.16</v>
      </c>
      <c r="X54" s="45">
        <v>0.02</v>
      </c>
      <c r="Y54" s="45" t="s">
        <v>176</v>
      </c>
      <c r="Z54" s="45">
        <v>0.1</v>
      </c>
      <c r="AB54" s="45" t="s">
        <v>57</v>
      </c>
      <c r="AC54" s="45" t="s">
        <v>57</v>
      </c>
      <c r="AD54" s="45" t="s">
        <v>57</v>
      </c>
      <c r="AE54" s="45" t="s">
        <v>57</v>
      </c>
      <c r="AF54" s="45">
        <v>0.5</v>
      </c>
      <c r="AG54" s="45" t="s">
        <v>5</v>
      </c>
      <c r="AH54" s="45" t="s">
        <v>5</v>
      </c>
      <c r="AI54" s="45" t="s">
        <v>5</v>
      </c>
      <c r="AP54" s="45">
        <f>0.68*100</f>
        <v>68</v>
      </c>
      <c r="AQ54" s="48">
        <f>0.049/10*1000</f>
        <v>4.8999999999999995</v>
      </c>
      <c r="AR54" s="45" t="s">
        <v>7</v>
      </c>
      <c r="AS54" s="45">
        <f>0.056/10*1000</f>
        <v>5.6</v>
      </c>
      <c r="AT54" s="45">
        <f>6.7/10</f>
        <v>0.67</v>
      </c>
      <c r="AU54" s="45">
        <f>2000/10</f>
        <v>200</v>
      </c>
      <c r="AV54" s="45">
        <f>2.9/10</f>
        <v>0.29</v>
      </c>
      <c r="AW54" s="45">
        <f>1900/10</f>
        <v>190</v>
      </c>
      <c r="AX54" s="45">
        <f>110/10</f>
        <v>11</v>
      </c>
      <c r="AY54" s="45">
        <f>0.06/10</f>
        <v>0.006</v>
      </c>
      <c r="AZ54" s="45" t="s">
        <v>7</v>
      </c>
      <c r="BA54" s="45">
        <f>10000/10</f>
        <v>1000</v>
      </c>
      <c r="BB54" s="45">
        <f>0.34/10</f>
        <v>0.034</v>
      </c>
      <c r="BC54" s="45" t="s">
        <v>7</v>
      </c>
      <c r="BD54" s="45">
        <f>0.019/10*1000</f>
        <v>1.9</v>
      </c>
      <c r="BE54" s="45">
        <f>40/10</f>
        <v>4</v>
      </c>
      <c r="BF54" s="45" t="s">
        <v>7</v>
      </c>
      <c r="BG54" s="45" t="s">
        <v>126</v>
      </c>
      <c r="BH54" s="45">
        <v>93</v>
      </c>
      <c r="BI54" s="46">
        <v>0.811</v>
      </c>
      <c r="BJ54" s="46">
        <v>9.8942</v>
      </c>
      <c r="BK54" s="46">
        <f>0.1622+0</f>
        <v>0.1622</v>
      </c>
      <c r="BL54" s="46">
        <v>0</v>
      </c>
      <c r="BM54" s="46">
        <v>0.1622</v>
      </c>
      <c r="BN54" s="46">
        <v>9.083</v>
      </c>
      <c r="BO54" s="46">
        <v>37.2249</v>
      </c>
      <c r="BP54" s="46">
        <v>33.7376</v>
      </c>
      <c r="BQ54" s="45" t="s">
        <v>5</v>
      </c>
      <c r="BR54" s="45" t="s">
        <v>5</v>
      </c>
      <c r="BS54" s="45" t="s">
        <v>5</v>
      </c>
      <c r="BT54" s="48" t="s">
        <v>5</v>
      </c>
      <c r="BU54" s="45" t="s">
        <v>5</v>
      </c>
      <c r="BV54" s="48">
        <v>1.3</v>
      </c>
      <c r="BW54" s="45" t="s">
        <v>5</v>
      </c>
      <c r="BX54" s="45">
        <v>25.2</v>
      </c>
      <c r="BY54" s="45">
        <v>0.4</v>
      </c>
      <c r="BZ54" s="45">
        <v>14.4</v>
      </c>
      <c r="CA54" s="45">
        <v>0.2</v>
      </c>
      <c r="CB54" s="45" t="s">
        <v>5</v>
      </c>
      <c r="CC54" s="45" t="s">
        <v>5</v>
      </c>
      <c r="CD54" s="45" t="s">
        <v>5</v>
      </c>
      <c r="CE54" s="45">
        <v>2.4</v>
      </c>
      <c r="CF54" s="45" t="s">
        <v>5</v>
      </c>
      <c r="CG54" s="45">
        <v>42.6</v>
      </c>
      <c r="CH54" s="45">
        <v>0.9</v>
      </c>
      <c r="CI54" s="45" t="s">
        <v>5</v>
      </c>
      <c r="CJ54" s="45" t="s">
        <v>5</v>
      </c>
      <c r="CK54" s="3">
        <v>10.3</v>
      </c>
      <c r="CL54" s="3" t="s">
        <v>5</v>
      </c>
      <c r="CM54" s="3">
        <v>0.7</v>
      </c>
      <c r="CN54" s="3">
        <v>0.5</v>
      </c>
      <c r="CO54" s="3" t="s">
        <v>5</v>
      </c>
      <c r="CP54" s="3">
        <v>0.1</v>
      </c>
      <c r="CQ54" s="3">
        <v>0.2</v>
      </c>
      <c r="CR54" s="3" t="s">
        <v>5</v>
      </c>
      <c r="CS54" s="3" t="s">
        <v>5</v>
      </c>
      <c r="CT54" s="3" t="s">
        <v>5</v>
      </c>
      <c r="CU54" s="3" t="s">
        <v>5</v>
      </c>
      <c r="CV54" s="3" t="s">
        <v>5</v>
      </c>
      <c r="CW54" s="45">
        <v>0.1</v>
      </c>
      <c r="CX54" s="45" t="s">
        <v>5</v>
      </c>
      <c r="CY54" s="45" t="s">
        <v>5</v>
      </c>
      <c r="CZ54" s="45" t="s">
        <v>5</v>
      </c>
      <c r="DA54" s="45" t="s">
        <v>5</v>
      </c>
      <c r="DB54" s="45" t="s">
        <v>5</v>
      </c>
      <c r="DC54" s="45" t="s">
        <v>5</v>
      </c>
      <c r="DD54" s="45" t="s">
        <v>5</v>
      </c>
      <c r="DE54" s="45" t="s">
        <v>5</v>
      </c>
      <c r="DF54" s="45" t="s">
        <v>5</v>
      </c>
    </row>
    <row r="55" spans="1:110" ht="15">
      <c r="A55" s="44" t="s">
        <v>194</v>
      </c>
      <c r="B55" s="44" t="s">
        <v>2</v>
      </c>
      <c r="C55" s="45">
        <v>62.4</v>
      </c>
      <c r="D55" s="45">
        <v>10.1</v>
      </c>
      <c r="E55" s="45">
        <v>24.3</v>
      </c>
      <c r="N55" s="45">
        <v>3.8</v>
      </c>
      <c r="O55" s="45" t="s">
        <v>4</v>
      </c>
      <c r="T55" s="45">
        <v>0.42</v>
      </c>
      <c r="U55" s="45">
        <v>0.09</v>
      </c>
      <c r="V55" s="45">
        <v>10</v>
      </c>
      <c r="W55" s="45">
        <v>1.3</v>
      </c>
      <c r="X55" s="45">
        <v>0.46</v>
      </c>
      <c r="Y55" s="45" t="s">
        <v>176</v>
      </c>
      <c r="Z55" s="45">
        <v>1.5</v>
      </c>
      <c r="AB55" s="45" t="s">
        <v>3</v>
      </c>
      <c r="AC55" s="45">
        <v>4.2</v>
      </c>
      <c r="AD55" s="45" t="s">
        <v>3</v>
      </c>
      <c r="AE55" s="45" t="s">
        <v>3</v>
      </c>
      <c r="AF55" s="45">
        <v>1.2</v>
      </c>
      <c r="AG55" s="45" t="s">
        <v>5</v>
      </c>
      <c r="AH55" s="45" t="s">
        <v>5</v>
      </c>
      <c r="AI55" s="45" t="s">
        <v>5</v>
      </c>
      <c r="AP55" s="45">
        <f>3.2*100</f>
        <v>320</v>
      </c>
      <c r="AQ55" s="45">
        <f>0.096/10*1000</f>
        <v>9.600000000000001</v>
      </c>
      <c r="AR55" s="45" t="s">
        <v>7</v>
      </c>
      <c r="AS55" s="45">
        <f>0.16/10*1000</f>
        <v>16</v>
      </c>
      <c r="AT55" s="45">
        <f>3.8/10</f>
        <v>0.38</v>
      </c>
      <c r="AU55" s="45">
        <f>3000/10</f>
        <v>300</v>
      </c>
      <c r="AV55" s="45">
        <f>3.1/10</f>
        <v>0.31</v>
      </c>
      <c r="AW55" s="45">
        <f>4300/10</f>
        <v>430</v>
      </c>
      <c r="AX55" s="45">
        <f>340/10</f>
        <v>34</v>
      </c>
      <c r="AY55" s="47">
        <f>0.083/10</f>
        <v>0.0083</v>
      </c>
      <c r="AZ55" s="45" t="s">
        <v>7</v>
      </c>
      <c r="BA55" s="45">
        <f>11000/10</f>
        <v>1100</v>
      </c>
      <c r="BB55" s="47">
        <f>0.4/10</f>
        <v>0.04</v>
      </c>
      <c r="BC55" s="45" t="s">
        <v>7</v>
      </c>
      <c r="BD55" s="45" t="s">
        <v>7</v>
      </c>
      <c r="BE55" s="45">
        <f>83/10</f>
        <v>8.3</v>
      </c>
      <c r="BF55" s="45">
        <f>0.16/10*1000</f>
        <v>16</v>
      </c>
      <c r="BG55" s="45" t="s">
        <v>126</v>
      </c>
      <c r="BH55" s="45">
        <v>55</v>
      </c>
      <c r="BI55" s="46">
        <v>1.4241</v>
      </c>
      <c r="BJ55" s="46">
        <v>2.909</v>
      </c>
      <c r="BK55" s="46">
        <f>0.0202+0.0303</f>
        <v>0.0505</v>
      </c>
      <c r="BL55" s="46">
        <f>10.1*0.3/100</f>
        <v>0.030299999999999997</v>
      </c>
      <c r="BM55" s="46">
        <v>0.0202</v>
      </c>
      <c r="BN55" s="46">
        <v>1.485</v>
      </c>
      <c r="BO55" s="46">
        <v>5.191</v>
      </c>
      <c r="BP55" s="46">
        <v>1.949</v>
      </c>
      <c r="BQ55" s="45" t="s">
        <v>5</v>
      </c>
      <c r="BR55" s="45" t="s">
        <v>5</v>
      </c>
      <c r="BS55" s="45" t="s">
        <v>5</v>
      </c>
      <c r="BT55" s="48" t="s">
        <v>5</v>
      </c>
      <c r="BU55" s="45" t="s">
        <v>5</v>
      </c>
      <c r="BV55" s="48">
        <v>1.8</v>
      </c>
      <c r="BW55" s="45">
        <v>0.2</v>
      </c>
      <c r="BX55" s="45">
        <v>12.7</v>
      </c>
      <c r="BY55" s="45">
        <v>0.3</v>
      </c>
      <c r="BZ55" s="45">
        <v>3.9</v>
      </c>
      <c r="CA55" s="45">
        <v>0.2</v>
      </c>
      <c r="CB55" s="45">
        <v>0.1</v>
      </c>
      <c r="CC55" s="45" t="s">
        <v>5</v>
      </c>
      <c r="CD55" s="45" t="s">
        <v>5</v>
      </c>
      <c r="CE55" s="45">
        <v>3.8</v>
      </c>
      <c r="CF55" s="45" t="s">
        <v>5</v>
      </c>
      <c r="CG55" s="45">
        <v>45.6</v>
      </c>
      <c r="CH55" s="45">
        <v>1.5</v>
      </c>
      <c r="CI55" s="45">
        <v>0.2</v>
      </c>
      <c r="CJ55" s="45">
        <v>0.2</v>
      </c>
      <c r="CK55" s="3">
        <v>12.6</v>
      </c>
      <c r="CL55" s="3">
        <v>0.2</v>
      </c>
      <c r="CM55" s="3">
        <v>4.4</v>
      </c>
      <c r="CN55" s="3">
        <v>0.7</v>
      </c>
      <c r="CO55" s="3">
        <v>0.4</v>
      </c>
      <c r="CP55" s="3">
        <v>0.3</v>
      </c>
      <c r="CQ55" s="3">
        <v>0.6</v>
      </c>
      <c r="CR55" s="3">
        <v>2.7</v>
      </c>
      <c r="CS55" s="3">
        <v>0.1</v>
      </c>
      <c r="CT55" s="3" t="s">
        <v>5</v>
      </c>
      <c r="CU55" s="3">
        <v>1.1</v>
      </c>
      <c r="CV55" s="3">
        <v>5.6</v>
      </c>
      <c r="CW55" s="45">
        <v>0.1</v>
      </c>
      <c r="CX55" s="45" t="s">
        <v>5</v>
      </c>
      <c r="CY55" s="45" t="s">
        <v>5</v>
      </c>
      <c r="CZ55" s="45" t="s">
        <v>5</v>
      </c>
      <c r="DA55" s="45">
        <v>0.1</v>
      </c>
      <c r="DB55" s="45" t="s">
        <v>5</v>
      </c>
      <c r="DC55" s="45" t="s">
        <v>5</v>
      </c>
      <c r="DD55" s="45" t="s">
        <v>5</v>
      </c>
      <c r="DE55" s="45" t="s">
        <v>5</v>
      </c>
      <c r="DF55" s="45">
        <v>0.2</v>
      </c>
    </row>
    <row r="56" spans="1:110" ht="15">
      <c r="A56" s="40" t="s">
        <v>195</v>
      </c>
      <c r="B56" s="52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</row>
    <row r="57" spans="1:74" ht="15">
      <c r="A57" s="44" t="s">
        <v>196</v>
      </c>
      <c r="B57" s="44" t="s">
        <v>2</v>
      </c>
      <c r="C57" s="45">
        <v>70.2</v>
      </c>
      <c r="D57" s="45" t="s">
        <v>3</v>
      </c>
      <c r="E57" s="45">
        <v>1.3</v>
      </c>
      <c r="F57" s="45">
        <v>0.4</v>
      </c>
      <c r="G57" s="45">
        <v>4.3</v>
      </c>
      <c r="H57" s="45">
        <v>4.4</v>
      </c>
      <c r="I57" s="45">
        <v>15</v>
      </c>
      <c r="J57" s="45" t="s">
        <v>3</v>
      </c>
      <c r="K57" s="45" t="s">
        <v>3</v>
      </c>
      <c r="L57" s="45">
        <v>24</v>
      </c>
      <c r="M57" s="45">
        <v>1.3</v>
      </c>
      <c r="N57" s="45">
        <v>2.5</v>
      </c>
      <c r="P57" s="45" t="s">
        <v>4</v>
      </c>
      <c r="Q57" s="45">
        <v>240</v>
      </c>
      <c r="R57" s="45" t="s">
        <v>175</v>
      </c>
      <c r="S57" s="45">
        <v>6800</v>
      </c>
      <c r="T57" s="45">
        <v>0.03</v>
      </c>
      <c r="U57" s="45" t="s">
        <v>6</v>
      </c>
      <c r="V57" s="45" t="s">
        <v>7</v>
      </c>
      <c r="W57" s="45" t="s">
        <v>45</v>
      </c>
      <c r="X57" s="45" t="s">
        <v>6</v>
      </c>
      <c r="Y57" s="45">
        <v>15.9</v>
      </c>
      <c r="AA57" s="45" t="s">
        <v>7</v>
      </c>
      <c r="AF57" s="45">
        <v>1</v>
      </c>
      <c r="AG57" s="45" t="s">
        <v>5</v>
      </c>
      <c r="AH57" s="45" t="s">
        <v>5</v>
      </c>
      <c r="AI57" s="45" t="s">
        <v>5</v>
      </c>
      <c r="AK57" s="45" t="s">
        <v>177</v>
      </c>
      <c r="AL57" s="45" t="s">
        <v>177</v>
      </c>
      <c r="AM57" s="45" t="s">
        <v>177</v>
      </c>
      <c r="AN57" s="45">
        <v>0.36</v>
      </c>
      <c r="AO57" s="45">
        <v>0.97</v>
      </c>
      <c r="AP57" s="45">
        <f>0.06*100</f>
        <v>6</v>
      </c>
      <c r="AQ57" s="48">
        <f>0.031/10*1000</f>
        <v>3.1</v>
      </c>
      <c r="AR57" s="45" t="s">
        <v>7</v>
      </c>
      <c r="AS57" s="45" t="s">
        <v>7</v>
      </c>
      <c r="AT57" s="45">
        <f>1.4/10</f>
        <v>0.13999999999999999</v>
      </c>
      <c r="AU57" s="45">
        <f>270/10</f>
        <v>27</v>
      </c>
      <c r="AV57" s="45">
        <f>6.2/10</f>
        <v>0.62</v>
      </c>
      <c r="AW57" s="45">
        <f>2700/10</f>
        <v>270</v>
      </c>
      <c r="AX57" s="45">
        <f>140/10</f>
        <v>14</v>
      </c>
      <c r="AY57" s="45">
        <f>1.1/10</f>
        <v>0.11000000000000001</v>
      </c>
      <c r="AZ57" s="45">
        <f>0.03/10*1000</f>
        <v>3</v>
      </c>
      <c r="BA57" s="45">
        <f>7300/10</f>
        <v>730</v>
      </c>
      <c r="BB57" s="45">
        <f>0.65/10</f>
        <v>0.065</v>
      </c>
      <c r="BC57" s="45">
        <f>0.012/10*1000</f>
        <v>1.2000000000000002</v>
      </c>
      <c r="BD57" s="45">
        <f>0.031/10*1000</f>
        <v>3.1</v>
      </c>
      <c r="BE57" s="45">
        <f>120/10</f>
        <v>12</v>
      </c>
      <c r="BF57" s="45" t="s">
        <v>7</v>
      </c>
      <c r="BG57" s="45">
        <f>4.7/10*1000</f>
        <v>470.00000000000006</v>
      </c>
      <c r="BH57" s="45">
        <v>0</v>
      </c>
      <c r="BT57" s="48"/>
      <c r="BV57" s="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6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9" sqref="D19"/>
    </sheetView>
  </sheetViews>
  <sheetFormatPr defaultColWidth="9.140625" defaultRowHeight="12.75"/>
  <cols>
    <col min="1" max="1" width="59.421875" style="44" customWidth="1"/>
    <col min="2" max="2" width="16.00390625" style="44" customWidth="1"/>
    <col min="3" max="4" width="12.8515625" style="45" customWidth="1"/>
    <col min="5" max="5" width="14.8515625" style="45" customWidth="1"/>
    <col min="6" max="15" width="12.8515625" style="45" customWidth="1"/>
    <col min="16" max="16" width="15.00390625" style="45" customWidth="1"/>
    <col min="17" max="17" width="17.00390625" style="45" customWidth="1"/>
    <col min="18" max="18" width="17.421875" style="45" customWidth="1"/>
    <col min="19" max="19" width="14.8515625" style="45" customWidth="1"/>
    <col min="20" max="22" width="12.8515625" style="45" customWidth="1"/>
    <col min="23" max="23" width="17.140625" style="45" customWidth="1"/>
    <col min="24" max="24" width="15.7109375" style="45" customWidth="1"/>
    <col min="25" max="25" width="14.00390625" style="45" customWidth="1"/>
    <col min="26" max="26" width="14.8515625" style="45" customWidth="1"/>
    <col min="27" max="27" width="12.8515625" style="45" customWidth="1"/>
    <col min="28" max="28" width="16.28125" style="45" customWidth="1"/>
    <col min="29" max="29" width="17.00390625" style="45" customWidth="1"/>
    <col min="30" max="30" width="24.8515625" style="45" customWidth="1"/>
    <col min="31" max="31" width="24.7109375" style="45" customWidth="1"/>
    <col min="32" max="32" width="20.57421875" style="45" customWidth="1"/>
    <col min="33" max="33" width="20.421875" style="45" customWidth="1"/>
    <col min="34" max="34" width="20.00390625" style="45" customWidth="1"/>
    <col min="35" max="35" width="24.00390625" style="45" customWidth="1"/>
    <col min="36" max="36" width="12.8515625" style="45" customWidth="1"/>
    <col min="37" max="37" width="19.28125" style="45" customWidth="1"/>
    <col min="38" max="38" width="15.00390625" style="45" customWidth="1"/>
    <col min="39" max="39" width="16.28125" style="45" customWidth="1"/>
    <col min="40" max="40" width="15.140625" style="45" customWidth="1"/>
    <col min="41" max="41" width="15.28125" style="45" customWidth="1"/>
    <col min="42" max="42" width="13.8515625" style="45" customWidth="1"/>
    <col min="43" max="43" width="14.8515625" style="45" customWidth="1"/>
    <col min="44" max="44" width="15.140625" style="45" customWidth="1"/>
    <col min="45" max="45" width="10.57421875" style="45" customWidth="1"/>
    <col min="46" max="46" width="15.421875" style="45" customWidth="1"/>
    <col min="47" max="47" width="11.140625" style="45" customWidth="1"/>
    <col min="48" max="48" width="10.8515625" style="45" customWidth="1"/>
    <col min="49" max="49" width="11.57421875" style="45" customWidth="1"/>
    <col min="50" max="50" width="11.28125" style="45" customWidth="1"/>
    <col min="51" max="51" width="10.8515625" style="45" customWidth="1"/>
    <col min="52" max="52" width="15.140625" style="45" customWidth="1"/>
    <col min="53" max="53" width="16.28125" style="45" customWidth="1"/>
    <col min="54" max="54" width="10.8515625" style="45" customWidth="1"/>
    <col min="55" max="55" width="14.8515625" style="45" customWidth="1"/>
    <col min="56" max="56" width="13.00390625" style="45" customWidth="1"/>
    <col min="57" max="57" width="15.00390625" style="45" customWidth="1"/>
    <col min="58" max="58" width="9.140625" style="45" customWidth="1"/>
    <col min="59" max="59" width="12.7109375" style="45" customWidth="1"/>
    <col min="60" max="60" width="17.00390625" style="45" customWidth="1"/>
    <col min="61" max="61" width="16.7109375" style="45" customWidth="1"/>
    <col min="62" max="62" width="14.57421875" style="45" customWidth="1"/>
    <col min="63" max="63" width="15.421875" style="45" customWidth="1"/>
    <col min="64" max="64" width="22.421875" style="45" customWidth="1"/>
    <col min="65" max="65" width="14.140625" style="45" customWidth="1"/>
    <col min="66" max="66" width="15.7109375" style="45" customWidth="1"/>
    <col min="67" max="67" width="17.00390625" style="45" customWidth="1"/>
    <col min="68" max="68" width="16.421875" style="45" customWidth="1"/>
    <col min="69" max="69" width="23.00390625" style="45" customWidth="1"/>
    <col min="70" max="70" width="17.421875" style="45" customWidth="1"/>
    <col min="71" max="90" width="9.140625" style="45" customWidth="1"/>
    <col min="91" max="91" width="14.00390625" style="45" customWidth="1"/>
    <col min="92" max="92" width="11.8515625" style="45" customWidth="1"/>
    <col min="93" max="93" width="12.7109375" style="45" customWidth="1"/>
    <col min="94" max="94" width="12.8515625" style="45" customWidth="1"/>
    <col min="95" max="95" width="13.140625" style="45" customWidth="1"/>
    <col min="96" max="96" width="11.7109375" style="45" customWidth="1"/>
    <col min="97" max="97" width="12.00390625" style="45" customWidth="1"/>
    <col min="98" max="98" width="12.8515625" style="45" customWidth="1"/>
    <col min="99" max="99" width="12.7109375" style="45" customWidth="1"/>
    <col min="100" max="101" width="12.57421875" style="45" customWidth="1"/>
    <col min="102" max="102" width="11.57421875" style="45" customWidth="1"/>
    <col min="103" max="103" width="12.8515625" style="45" customWidth="1"/>
    <col min="104" max="104" width="11.421875" style="45" customWidth="1"/>
    <col min="105" max="106" width="17.140625" style="45" customWidth="1"/>
    <col min="107" max="107" width="17.00390625" style="45" customWidth="1"/>
    <col min="108" max="108" width="20.140625" style="45" customWidth="1"/>
    <col min="109" max="109" width="31.7109375" style="45" customWidth="1"/>
    <col min="110" max="110" width="30.28125" style="45" customWidth="1"/>
    <col min="111" max="111" width="20.28125" style="45" customWidth="1"/>
    <col min="112" max="112" width="19.00390625" style="45" customWidth="1"/>
    <col min="113" max="113" width="13.57421875" style="45" customWidth="1"/>
    <col min="114" max="16384" width="9.140625" style="44" customWidth="1"/>
  </cols>
  <sheetData>
    <row r="1" spans="1:113" s="34" customFormat="1" ht="15">
      <c r="A1" s="34" t="s">
        <v>149</v>
      </c>
      <c r="C1" s="35" t="s">
        <v>12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 t="s">
        <v>0</v>
      </c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 t="s">
        <v>1</v>
      </c>
      <c r="AK1" s="35"/>
      <c r="AL1" s="35" t="s">
        <v>150</v>
      </c>
      <c r="AM1" s="35"/>
      <c r="AN1" s="35"/>
      <c r="AO1" s="35"/>
      <c r="AP1" s="35"/>
      <c r="AQ1" s="35"/>
      <c r="AR1" s="35"/>
      <c r="AS1" s="35" t="s">
        <v>197</v>
      </c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6" t="s">
        <v>59</v>
      </c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6" t="s">
        <v>102</v>
      </c>
      <c r="CG1" s="35"/>
      <c r="CH1" s="35"/>
      <c r="CI1" s="35"/>
      <c r="CJ1" s="35"/>
      <c r="CK1" s="35"/>
      <c r="CL1" s="35"/>
      <c r="CM1" s="36" t="s">
        <v>103</v>
      </c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57" t="s">
        <v>152</v>
      </c>
      <c r="CZ1" s="35"/>
      <c r="DA1" s="35"/>
      <c r="DB1" s="35"/>
      <c r="DC1" s="35"/>
      <c r="DD1" s="35"/>
      <c r="DE1" s="35"/>
      <c r="DF1" s="35"/>
      <c r="DG1" s="35"/>
      <c r="DH1" s="35"/>
      <c r="DI1" s="35"/>
    </row>
    <row r="2" spans="1:113" s="34" customFormat="1" ht="48.75" customHeight="1">
      <c r="A2" s="34" t="s">
        <v>9</v>
      </c>
      <c r="B2" s="39" t="s">
        <v>10</v>
      </c>
      <c r="C2" s="35" t="s">
        <v>22</v>
      </c>
      <c r="D2" s="35" t="s">
        <v>23</v>
      </c>
      <c r="E2" s="35" t="s">
        <v>198</v>
      </c>
      <c r="F2" s="35" t="s">
        <v>26</v>
      </c>
      <c r="G2" s="35" t="s">
        <v>16</v>
      </c>
      <c r="H2" s="35" t="s">
        <v>17</v>
      </c>
      <c r="I2" s="35" t="s">
        <v>18</v>
      </c>
      <c r="J2" s="35" t="s">
        <v>19</v>
      </c>
      <c r="K2" s="35" t="s">
        <v>20</v>
      </c>
      <c r="L2" s="35" t="s">
        <v>199</v>
      </c>
      <c r="M2" s="35" t="s">
        <v>21</v>
      </c>
      <c r="N2" s="35" t="s">
        <v>27</v>
      </c>
      <c r="O2" s="35" t="s">
        <v>25</v>
      </c>
      <c r="P2" s="35" t="s">
        <v>153</v>
      </c>
      <c r="Q2" s="4" t="s">
        <v>29</v>
      </c>
      <c r="R2" s="4" t="s">
        <v>30</v>
      </c>
      <c r="S2" s="4" t="s">
        <v>31</v>
      </c>
      <c r="T2" s="35" t="s">
        <v>155</v>
      </c>
      <c r="U2" s="35" t="s">
        <v>156</v>
      </c>
      <c r="V2" s="35" t="s">
        <v>157</v>
      </c>
      <c r="W2" s="35" t="s">
        <v>158</v>
      </c>
      <c r="X2" s="35" t="s">
        <v>159</v>
      </c>
      <c r="Y2" s="35" t="s">
        <v>41</v>
      </c>
      <c r="Z2" s="35" t="s">
        <v>160</v>
      </c>
      <c r="AA2" s="35" t="s">
        <v>28</v>
      </c>
      <c r="AB2" s="35" t="s">
        <v>161</v>
      </c>
      <c r="AC2" s="35" t="s">
        <v>162</v>
      </c>
      <c r="AD2" s="35" t="s">
        <v>163</v>
      </c>
      <c r="AE2" s="35" t="s">
        <v>164</v>
      </c>
      <c r="AF2" s="35" t="s">
        <v>32</v>
      </c>
      <c r="AG2" s="35" t="s">
        <v>33</v>
      </c>
      <c r="AH2" s="35" t="s">
        <v>34</v>
      </c>
      <c r="AI2" s="35" t="s">
        <v>35</v>
      </c>
      <c r="AJ2" s="35" t="s">
        <v>47</v>
      </c>
      <c r="AK2" s="35" t="s">
        <v>200</v>
      </c>
      <c r="AL2" s="35" t="s">
        <v>167</v>
      </c>
      <c r="AM2" s="35" t="s">
        <v>201</v>
      </c>
      <c r="AN2" s="35" t="s">
        <v>166</v>
      </c>
      <c r="AO2" s="35" t="s">
        <v>165</v>
      </c>
      <c r="AP2" s="35" t="s">
        <v>168</v>
      </c>
      <c r="AQ2" s="35" t="s">
        <v>169</v>
      </c>
      <c r="AR2" s="35" t="s">
        <v>44</v>
      </c>
      <c r="AS2" s="35" t="s">
        <v>117</v>
      </c>
      <c r="AT2" s="35" t="s">
        <v>54</v>
      </c>
      <c r="AU2" s="35" t="s">
        <v>52</v>
      </c>
      <c r="AV2" s="35" t="s">
        <v>122</v>
      </c>
      <c r="AW2" s="35" t="s">
        <v>171</v>
      </c>
      <c r="AX2" s="35" t="s">
        <v>49</v>
      </c>
      <c r="AY2" s="35" t="s">
        <v>170</v>
      </c>
      <c r="AZ2" s="35" t="s">
        <v>50</v>
      </c>
      <c r="BA2" s="35" t="s">
        <v>55</v>
      </c>
      <c r="BB2" s="35" t="s">
        <v>56</v>
      </c>
      <c r="BC2" s="35" t="s">
        <v>120</v>
      </c>
      <c r="BD2" s="35" t="s">
        <v>121</v>
      </c>
      <c r="BE2" s="35" t="s">
        <v>123</v>
      </c>
      <c r="BF2" s="35" t="s">
        <v>53</v>
      </c>
      <c r="BG2" s="35" t="s">
        <v>118</v>
      </c>
      <c r="BH2" s="35" t="s">
        <v>51</v>
      </c>
      <c r="BI2" s="35" t="s">
        <v>119</v>
      </c>
      <c r="BJ2" s="35" t="s">
        <v>172</v>
      </c>
      <c r="BK2" s="35" t="s">
        <v>105</v>
      </c>
      <c r="BL2" s="35" t="s">
        <v>107</v>
      </c>
      <c r="BM2" s="35" t="s">
        <v>106</v>
      </c>
      <c r="BN2" s="35" t="s">
        <v>108</v>
      </c>
      <c r="BO2" s="35" t="s">
        <v>109</v>
      </c>
      <c r="BP2" s="35" t="s">
        <v>110</v>
      </c>
      <c r="BQ2" s="35" t="s">
        <v>111</v>
      </c>
      <c r="BR2" s="35" t="s">
        <v>112</v>
      </c>
      <c r="BS2" s="21" t="s">
        <v>60</v>
      </c>
      <c r="BT2" s="21" t="s">
        <v>61</v>
      </c>
      <c r="BU2" s="21" t="s">
        <v>62</v>
      </c>
      <c r="BV2" s="21" t="s">
        <v>63</v>
      </c>
      <c r="BW2" s="21" t="s">
        <v>64</v>
      </c>
      <c r="BX2" s="21" t="s">
        <v>65</v>
      </c>
      <c r="BY2" s="21" t="s">
        <v>66</v>
      </c>
      <c r="BZ2" s="21" t="s">
        <v>67</v>
      </c>
      <c r="CA2" s="21" t="s">
        <v>68</v>
      </c>
      <c r="CB2" s="21" t="s">
        <v>69</v>
      </c>
      <c r="CC2" s="21" t="s">
        <v>70</v>
      </c>
      <c r="CD2" s="21" t="s">
        <v>71</v>
      </c>
      <c r="CE2" s="21" t="s">
        <v>72</v>
      </c>
      <c r="CF2" s="21" t="s">
        <v>73</v>
      </c>
      <c r="CG2" s="21" t="s">
        <v>74</v>
      </c>
      <c r="CH2" s="21" t="s">
        <v>75</v>
      </c>
      <c r="CI2" s="21" t="s">
        <v>76</v>
      </c>
      <c r="CJ2" s="21" t="s">
        <v>77</v>
      </c>
      <c r="CK2" s="21" t="s">
        <v>78</v>
      </c>
      <c r="CL2" s="21" t="s">
        <v>79</v>
      </c>
      <c r="CM2" s="21" t="s">
        <v>80</v>
      </c>
      <c r="CN2" s="21" t="s">
        <v>81</v>
      </c>
      <c r="CO2" s="21" t="s">
        <v>82</v>
      </c>
      <c r="CP2" s="21" t="s">
        <v>83</v>
      </c>
      <c r="CQ2" s="21" t="s">
        <v>84</v>
      </c>
      <c r="CR2" s="21" t="s">
        <v>85</v>
      </c>
      <c r="CS2" s="21" t="s">
        <v>86</v>
      </c>
      <c r="CT2" s="21" t="s">
        <v>87</v>
      </c>
      <c r="CU2" s="21" t="s">
        <v>88</v>
      </c>
      <c r="CV2" s="21" t="s">
        <v>89</v>
      </c>
      <c r="CW2" s="21" t="s">
        <v>90</v>
      </c>
      <c r="CX2" s="21" t="s">
        <v>91</v>
      </c>
      <c r="CY2" s="21" t="s">
        <v>92</v>
      </c>
      <c r="CZ2" s="21" t="s">
        <v>93</v>
      </c>
      <c r="DA2" s="21" t="s">
        <v>94</v>
      </c>
      <c r="DB2" s="21" t="s">
        <v>95</v>
      </c>
      <c r="DC2" s="21" t="s">
        <v>96</v>
      </c>
      <c r="DD2" s="21" t="s">
        <v>97</v>
      </c>
      <c r="DE2" s="35" t="s">
        <v>98</v>
      </c>
      <c r="DF2" s="35" t="s">
        <v>99</v>
      </c>
      <c r="DG2" s="35" t="s">
        <v>100</v>
      </c>
      <c r="DH2" s="21" t="s">
        <v>101</v>
      </c>
      <c r="DI2" s="35"/>
    </row>
    <row r="3" spans="1:113" s="34" customFormat="1" ht="15">
      <c r="A3" s="40" t="s">
        <v>127</v>
      </c>
      <c r="B3" s="40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35"/>
    </row>
    <row r="4" spans="1:61" ht="12.75" customHeight="1">
      <c r="A4" s="44" t="s">
        <v>202</v>
      </c>
      <c r="B4" s="44" t="s">
        <v>2</v>
      </c>
      <c r="C4" s="45">
        <v>83.6</v>
      </c>
      <c r="D4" s="45" t="s">
        <v>3</v>
      </c>
      <c r="F4" s="45">
        <v>0.4</v>
      </c>
      <c r="G4" s="45">
        <v>4.8</v>
      </c>
      <c r="H4" s="45">
        <v>4.4</v>
      </c>
      <c r="I4" s="45" t="s">
        <v>3</v>
      </c>
      <c r="J4" s="45" t="s">
        <v>3</v>
      </c>
      <c r="K4" s="45" t="s">
        <v>3</v>
      </c>
      <c r="M4" s="45">
        <v>9.2</v>
      </c>
      <c r="N4" s="45">
        <v>3.5</v>
      </c>
      <c r="O4" s="45">
        <v>0.2</v>
      </c>
      <c r="Q4" s="45" t="s">
        <v>175</v>
      </c>
      <c r="R4" s="45" t="s">
        <v>175</v>
      </c>
      <c r="S4" s="45" t="s">
        <v>175</v>
      </c>
      <c r="T4" s="45">
        <v>0.03</v>
      </c>
      <c r="U4" s="45" t="s">
        <v>6</v>
      </c>
      <c r="V4" s="45" t="s">
        <v>8</v>
      </c>
      <c r="W4" s="45">
        <v>0.048</v>
      </c>
      <c r="X4" s="45" t="s">
        <v>6</v>
      </c>
      <c r="Y4" s="45" t="s">
        <v>42</v>
      </c>
      <c r="AA4" s="45">
        <v>2.3</v>
      </c>
      <c r="AF4" s="45">
        <v>0.5</v>
      </c>
      <c r="AG4" s="45" t="s">
        <v>5</v>
      </c>
      <c r="AH4" s="45" t="s">
        <v>5</v>
      </c>
      <c r="AI4" s="45">
        <v>0.5</v>
      </c>
      <c r="AK4" s="45" t="s">
        <v>6</v>
      </c>
      <c r="AL4" s="45" t="s">
        <v>6</v>
      </c>
      <c r="AM4" s="45" t="s">
        <v>6</v>
      </c>
      <c r="AN4" s="45" t="s">
        <v>6</v>
      </c>
      <c r="AO4" s="45" t="s">
        <v>6</v>
      </c>
      <c r="AP4" s="45">
        <f>310/1000</f>
        <v>0.31</v>
      </c>
      <c r="AQ4" s="45" t="s">
        <v>6</v>
      </c>
      <c r="AR4" s="45">
        <f>0.06*100</f>
        <v>6</v>
      </c>
      <c r="AS4" s="45" t="s">
        <v>7</v>
      </c>
      <c r="AT4" s="45">
        <f>830/10</f>
        <v>83</v>
      </c>
      <c r="AU4" s="45">
        <f>21/10</f>
        <v>2.1</v>
      </c>
      <c r="AV4" s="45" t="s">
        <v>7</v>
      </c>
      <c r="AW4" s="45">
        <f>110/10</f>
        <v>11</v>
      </c>
      <c r="AX4" s="45">
        <f>0.35/10</f>
        <v>0.034999999999999996</v>
      </c>
      <c r="AY4" s="45" t="s">
        <v>7</v>
      </c>
      <c r="AZ4" s="45">
        <f>8.2/10</f>
        <v>0.82</v>
      </c>
      <c r="BA4" s="45">
        <f>58/10</f>
        <v>5.8</v>
      </c>
      <c r="BB4" s="45">
        <f>3.5/10</f>
        <v>0.35</v>
      </c>
      <c r="BC4" s="45">
        <f>0.019/10*1000</f>
        <v>1.9</v>
      </c>
      <c r="BD4" s="45" t="s">
        <v>7</v>
      </c>
      <c r="BE4" s="45">
        <f>2.8/10*1000</f>
        <v>279.99999999999994</v>
      </c>
      <c r="BF4" s="45">
        <f>0.74/10</f>
        <v>0.074</v>
      </c>
      <c r="BG4" s="45" t="s">
        <v>7</v>
      </c>
      <c r="BH4" s="45">
        <f>110/10</f>
        <v>11</v>
      </c>
      <c r="BI4" s="45" t="s">
        <v>7</v>
      </c>
    </row>
    <row r="5" spans="1:113" s="34" customFormat="1" ht="15">
      <c r="A5" s="40" t="s">
        <v>113</v>
      </c>
      <c r="B5" s="40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35"/>
    </row>
    <row r="6" spans="1:112" ht="12.75" customHeight="1">
      <c r="A6" s="44" t="s">
        <v>203</v>
      </c>
      <c r="B6" s="44" t="s">
        <v>2</v>
      </c>
      <c r="C6" s="45">
        <v>92.5</v>
      </c>
      <c r="D6" s="45">
        <v>0.3</v>
      </c>
      <c r="E6" s="45">
        <v>2.9</v>
      </c>
      <c r="F6" s="45">
        <v>0.1</v>
      </c>
      <c r="G6" s="45">
        <v>0.5</v>
      </c>
      <c r="H6" s="45">
        <v>0.6</v>
      </c>
      <c r="I6" s="45" t="s">
        <v>3</v>
      </c>
      <c r="J6" s="45" t="s">
        <v>3</v>
      </c>
      <c r="K6" s="45" t="s">
        <v>3</v>
      </c>
      <c r="M6" s="45">
        <v>1.1</v>
      </c>
      <c r="N6" s="45">
        <v>2.5</v>
      </c>
      <c r="O6" s="45">
        <v>0.6</v>
      </c>
      <c r="Q6" s="45" t="s">
        <v>175</v>
      </c>
      <c r="R6" s="45">
        <v>450</v>
      </c>
      <c r="S6" s="45" t="s">
        <v>175</v>
      </c>
      <c r="Y6" s="45">
        <v>87.4</v>
      </c>
      <c r="AF6" s="45">
        <v>1.1</v>
      </c>
      <c r="AG6" s="45" t="s">
        <v>5</v>
      </c>
      <c r="AH6" s="45" t="s">
        <v>5</v>
      </c>
      <c r="AI6" s="45">
        <v>0.4</v>
      </c>
      <c r="AR6" s="45">
        <f>0.26*100</f>
        <v>26</v>
      </c>
      <c r="BK6" s="48">
        <v>0.1281</v>
      </c>
      <c r="BL6" s="48">
        <v>0.1791</v>
      </c>
      <c r="BM6" s="48">
        <f>BN6+0</f>
        <v>0.0015</v>
      </c>
      <c r="BN6" s="48">
        <v>0.0015</v>
      </c>
      <c r="BO6" s="46">
        <v>0</v>
      </c>
      <c r="BP6" s="48">
        <v>0.051</v>
      </c>
      <c r="BQ6" s="48">
        <v>0.0126</v>
      </c>
      <c r="BR6" s="48">
        <v>0.0876</v>
      </c>
      <c r="BS6" s="45" t="s">
        <v>5</v>
      </c>
      <c r="BT6" s="45" t="s">
        <v>5</v>
      </c>
      <c r="BU6" s="45" t="s">
        <v>5</v>
      </c>
      <c r="BV6" s="45" t="s">
        <v>5</v>
      </c>
      <c r="BW6" s="45" t="s">
        <v>5</v>
      </c>
      <c r="BX6" s="45">
        <v>0.1</v>
      </c>
      <c r="BY6" s="45">
        <v>0.2</v>
      </c>
      <c r="BZ6" s="45">
        <v>20.8</v>
      </c>
      <c r="CA6" s="45">
        <v>0.6</v>
      </c>
      <c r="CB6" s="45">
        <v>3.8</v>
      </c>
      <c r="CC6" s="45">
        <v>1.6</v>
      </c>
      <c r="CD6" s="45">
        <v>0.7</v>
      </c>
      <c r="CE6" s="45">
        <v>1.3</v>
      </c>
      <c r="CF6" s="45" t="s">
        <v>5</v>
      </c>
      <c r="CG6" s="45">
        <v>1.7</v>
      </c>
      <c r="CH6" s="45" t="s">
        <v>5</v>
      </c>
      <c r="CI6" s="45">
        <v>1.5</v>
      </c>
      <c r="CJ6" s="45">
        <v>0.1</v>
      </c>
      <c r="CK6" s="45">
        <v>0.1</v>
      </c>
      <c r="CL6" s="45">
        <v>0.8</v>
      </c>
      <c r="CM6" s="45">
        <v>16.6</v>
      </c>
      <c r="CN6" s="45" t="s">
        <v>5</v>
      </c>
      <c r="CO6" s="45">
        <v>42.3</v>
      </c>
      <c r="CP6" s="45">
        <v>0.2</v>
      </c>
      <c r="CQ6" s="45" t="s">
        <v>5</v>
      </c>
      <c r="CR6" s="45">
        <v>0.4</v>
      </c>
      <c r="CS6" s="45" t="s">
        <v>5</v>
      </c>
      <c r="CT6" s="45" t="s">
        <v>5</v>
      </c>
      <c r="CU6" s="45" t="s">
        <v>5</v>
      </c>
      <c r="CV6" s="45">
        <v>0.2</v>
      </c>
      <c r="CW6" s="45" t="s">
        <v>5</v>
      </c>
      <c r="CX6" s="45" t="s">
        <v>5</v>
      </c>
      <c r="CY6" s="45" t="s">
        <v>5</v>
      </c>
      <c r="CZ6" s="45" t="s">
        <v>5</v>
      </c>
      <c r="DA6" s="45" t="s">
        <v>5</v>
      </c>
      <c r="DB6" s="45" t="s">
        <v>5</v>
      </c>
      <c r="DC6" s="45" t="s">
        <v>5</v>
      </c>
      <c r="DD6" s="45" t="s">
        <v>5</v>
      </c>
      <c r="DE6" s="45" t="s">
        <v>5</v>
      </c>
      <c r="DF6" s="45">
        <v>0.2</v>
      </c>
      <c r="DG6" s="45" t="s">
        <v>5</v>
      </c>
      <c r="DH6" s="45" t="s">
        <v>5</v>
      </c>
    </row>
    <row r="7" spans="1:61" ht="12.75" customHeight="1">
      <c r="A7" s="44" t="s">
        <v>203</v>
      </c>
      <c r="B7" s="44" t="s">
        <v>204</v>
      </c>
      <c r="AA7" s="45">
        <v>51</v>
      </c>
      <c r="AS7" s="45" t="s">
        <v>7</v>
      </c>
      <c r="AT7" s="45">
        <f>1500/10</f>
        <v>150</v>
      </c>
      <c r="AU7" s="45">
        <f>230/10</f>
        <v>23</v>
      </c>
      <c r="AV7" s="45" t="s">
        <v>7</v>
      </c>
      <c r="AW7" s="45">
        <f>270/10</f>
        <v>27</v>
      </c>
      <c r="AX7" s="45">
        <f>0.3/10</f>
        <v>0.03</v>
      </c>
      <c r="AY7" s="45" t="s">
        <v>7</v>
      </c>
      <c r="AZ7" s="45">
        <f>1.3/10</f>
        <v>0.13</v>
      </c>
      <c r="BA7" s="45">
        <f>120/10</f>
        <v>12</v>
      </c>
      <c r="BB7" s="45">
        <f>4.6/10</f>
        <v>0.45999999999999996</v>
      </c>
      <c r="BC7" s="45">
        <f>0.1/10*1000</f>
        <v>10</v>
      </c>
      <c r="BD7" s="45" t="s">
        <v>7</v>
      </c>
      <c r="BE7" s="45" t="s">
        <v>126</v>
      </c>
      <c r="BF7" s="45">
        <f>1.8/10</f>
        <v>0.18</v>
      </c>
      <c r="BG7" s="45" t="s">
        <v>7</v>
      </c>
      <c r="BH7" s="45">
        <f>510/10</f>
        <v>51</v>
      </c>
      <c r="BI7" s="45">
        <f>0.021/10*1000</f>
        <v>2.1</v>
      </c>
    </row>
    <row r="8" spans="1:61" ht="12.75" customHeight="1">
      <c r="A8" s="44" t="s">
        <v>203</v>
      </c>
      <c r="B8" s="44" t="s">
        <v>205</v>
      </c>
      <c r="AA8" s="45">
        <v>56</v>
      </c>
      <c r="AS8" s="45">
        <f>0.011/10*1000</f>
        <v>1.0999999999999999</v>
      </c>
      <c r="AT8" s="45">
        <f>1700/10</f>
        <v>170</v>
      </c>
      <c r="AU8" s="45">
        <f>120/10</f>
        <v>12</v>
      </c>
      <c r="AV8" s="45" t="s">
        <v>7</v>
      </c>
      <c r="AW8" s="45">
        <f>330/10</f>
        <v>33</v>
      </c>
      <c r="AX8" s="45">
        <f>0.47/10</f>
        <v>0.047</v>
      </c>
      <c r="AY8" s="45">
        <f>0.01/10*1000</f>
        <v>1</v>
      </c>
      <c r="AZ8" s="45">
        <f>1.2/10</f>
        <v>0.12</v>
      </c>
      <c r="BA8" s="45">
        <f>120/10</f>
        <v>12</v>
      </c>
      <c r="BB8" s="45">
        <f>4.9/10</f>
        <v>0.49000000000000005</v>
      </c>
      <c r="BC8" s="45">
        <f>0.092/10*1000</f>
        <v>9.2</v>
      </c>
      <c r="BD8" s="45" t="s">
        <v>7</v>
      </c>
      <c r="BE8" s="45" t="s">
        <v>126</v>
      </c>
      <c r="BF8" s="45">
        <f>2.1/10</f>
        <v>0.21000000000000002</v>
      </c>
      <c r="BG8" s="45" t="s">
        <v>7</v>
      </c>
      <c r="BH8" s="45">
        <f>570/10</f>
        <v>57</v>
      </c>
      <c r="BI8" s="45">
        <f>0.048/10*1000</f>
        <v>4.800000000000001</v>
      </c>
    </row>
    <row r="9" spans="1:61" ht="12.75" customHeight="1">
      <c r="A9" s="44" t="s">
        <v>203</v>
      </c>
      <c r="B9" s="44" t="s">
        <v>130</v>
      </c>
      <c r="AA9" s="45">
        <v>57</v>
      </c>
      <c r="AS9" s="45" t="s">
        <v>7</v>
      </c>
      <c r="AT9" s="45">
        <f>2200/10</f>
        <v>220</v>
      </c>
      <c r="AU9" s="45">
        <f>38/10</f>
        <v>3.8</v>
      </c>
      <c r="AV9" s="45" t="s">
        <v>7</v>
      </c>
      <c r="AW9" s="45">
        <f>220/10</f>
        <v>22</v>
      </c>
      <c r="AX9" s="45">
        <f>0.31/10</f>
        <v>0.031</v>
      </c>
      <c r="AY9" s="45" t="s">
        <v>7</v>
      </c>
      <c r="AZ9" s="45">
        <f>1.4/10</f>
        <v>0.13999999999999999</v>
      </c>
      <c r="BA9" s="45">
        <f>140/10</f>
        <v>14</v>
      </c>
      <c r="BB9" s="45">
        <f>4.4/10</f>
        <v>0.44000000000000006</v>
      </c>
      <c r="BC9" s="45">
        <f>0.055/10*1000</f>
        <v>5.5</v>
      </c>
      <c r="BD9" s="45" t="s">
        <v>7</v>
      </c>
      <c r="BE9" s="45" t="s">
        <v>126</v>
      </c>
      <c r="BF9" s="45">
        <f>2.6/10</f>
        <v>0.26</v>
      </c>
      <c r="BG9" s="45" t="s">
        <v>7</v>
      </c>
      <c r="BH9" s="45">
        <f>510/10</f>
        <v>51</v>
      </c>
      <c r="BI9" s="45">
        <f>0.2/10*1000</f>
        <v>20</v>
      </c>
    </row>
    <row r="10" spans="1:61" ht="12.75" customHeight="1">
      <c r="A10" s="44" t="s">
        <v>203</v>
      </c>
      <c r="B10" s="44" t="s">
        <v>206</v>
      </c>
      <c r="AA10" s="45">
        <v>58</v>
      </c>
      <c r="AS10" s="45" t="s">
        <v>7</v>
      </c>
      <c r="AT10" s="45">
        <f>1900/10</f>
        <v>190</v>
      </c>
      <c r="AU10" s="45">
        <f>69/10</f>
        <v>6.9</v>
      </c>
      <c r="AV10" s="45" t="s">
        <v>7</v>
      </c>
      <c r="AW10" s="45">
        <f>260/10</f>
        <v>26</v>
      </c>
      <c r="AX10" s="45">
        <f>0.36/10</f>
        <v>0.036</v>
      </c>
      <c r="AY10" s="45" t="s">
        <v>7</v>
      </c>
      <c r="AZ10" s="45">
        <f>1.9/10</f>
        <v>0.19</v>
      </c>
      <c r="BA10" s="45">
        <f>140/10</f>
        <v>14</v>
      </c>
      <c r="BB10" s="45">
        <f>4.1/10</f>
        <v>0.41</v>
      </c>
      <c r="BC10" s="45">
        <f>0.023/10*1000</f>
        <v>2.3</v>
      </c>
      <c r="BD10" s="45" t="s">
        <v>7</v>
      </c>
      <c r="BE10" s="45" t="s">
        <v>126</v>
      </c>
      <c r="BF10" s="45">
        <f>2.2/10</f>
        <v>0.22000000000000003</v>
      </c>
      <c r="BG10" s="45" t="s">
        <v>7</v>
      </c>
      <c r="BH10" s="45">
        <f>500/10</f>
        <v>50</v>
      </c>
      <c r="BI10" s="45">
        <f>0.027/10*1000</f>
        <v>2.7</v>
      </c>
    </row>
    <row r="11" spans="1:61" ht="12.75" customHeight="1">
      <c r="A11" s="44" t="s">
        <v>203</v>
      </c>
      <c r="B11" s="44" t="s">
        <v>132</v>
      </c>
      <c r="AA11" s="45">
        <v>66</v>
      </c>
      <c r="AS11" s="45" t="s">
        <v>7</v>
      </c>
      <c r="AT11" s="45">
        <f>2000/10</f>
        <v>200</v>
      </c>
      <c r="AU11" s="45">
        <f>81/10</f>
        <v>8.1</v>
      </c>
      <c r="AV11" s="45" t="s">
        <v>7</v>
      </c>
      <c r="AW11" s="45">
        <f>260/10</f>
        <v>26</v>
      </c>
      <c r="AX11" s="45">
        <f>0.42/10</f>
        <v>0.041999999999999996</v>
      </c>
      <c r="AY11" s="45" t="s">
        <v>7</v>
      </c>
      <c r="AZ11" s="45">
        <f>1.2/10</f>
        <v>0.12</v>
      </c>
      <c r="BA11" s="45">
        <f>91/10</f>
        <v>9.1</v>
      </c>
      <c r="BB11" s="45">
        <f>5.2/10</f>
        <v>0.52</v>
      </c>
      <c r="BC11" s="45">
        <f>0.019/10*1000</f>
        <v>1.9</v>
      </c>
      <c r="BD11" s="45" t="s">
        <v>7</v>
      </c>
      <c r="BE11" s="45" t="s">
        <v>126</v>
      </c>
      <c r="BF11" s="45">
        <f>3.2/10</f>
        <v>0.32</v>
      </c>
      <c r="BG11" s="45" t="s">
        <v>7</v>
      </c>
      <c r="BH11" s="45">
        <f>580/10</f>
        <v>58</v>
      </c>
      <c r="BI11" s="45">
        <f>0.044/10*1000</f>
        <v>4.3999999999999995</v>
      </c>
    </row>
    <row r="12" spans="1:61" ht="12.75" customHeight="1">
      <c r="A12" s="44" t="s">
        <v>203</v>
      </c>
      <c r="B12" s="44" t="s">
        <v>133</v>
      </c>
      <c r="AA12" s="45">
        <v>60</v>
      </c>
      <c r="AS12" s="45">
        <f>0.017/10*1000</f>
        <v>1.7000000000000002</v>
      </c>
      <c r="AT12" s="45">
        <f>1700/10</f>
        <v>170</v>
      </c>
      <c r="AU12" s="45">
        <f>180/10</f>
        <v>18</v>
      </c>
      <c r="AV12" s="45" t="s">
        <v>7</v>
      </c>
      <c r="AW12" s="45">
        <f>330/10</f>
        <v>33</v>
      </c>
      <c r="AX12" s="45">
        <f>0.34/10</f>
        <v>0.034</v>
      </c>
      <c r="AY12" s="45" t="s">
        <v>7</v>
      </c>
      <c r="AZ12" s="45">
        <f>1.5/10</f>
        <v>0.15</v>
      </c>
      <c r="BA12" s="45">
        <f>120/10</f>
        <v>12</v>
      </c>
      <c r="BB12" s="45">
        <f>5.2/10</f>
        <v>0.52</v>
      </c>
      <c r="BC12" s="45">
        <f>0.088/10*1000</f>
        <v>8.799999999999999</v>
      </c>
      <c r="BD12" s="45" t="s">
        <v>7</v>
      </c>
      <c r="BE12" s="45" t="s">
        <v>126</v>
      </c>
      <c r="BF12" s="45">
        <f>2.1/10</f>
        <v>0.21000000000000002</v>
      </c>
      <c r="BG12" s="45" t="s">
        <v>7</v>
      </c>
      <c r="BH12" s="45">
        <f>600/10</f>
        <v>60</v>
      </c>
      <c r="BI12" s="45">
        <f>0.024/10*1000</f>
        <v>2.4000000000000004</v>
      </c>
    </row>
    <row r="13" spans="1:61" ht="12.75" customHeight="1">
      <c r="A13" s="44" t="s">
        <v>203</v>
      </c>
      <c r="B13" s="44" t="s">
        <v>207</v>
      </c>
      <c r="AA13" s="45">
        <v>55</v>
      </c>
      <c r="AS13" s="45">
        <f>0.038/10*1000</f>
        <v>3.8</v>
      </c>
      <c r="AT13" s="45">
        <f>1500/10</f>
        <v>150</v>
      </c>
      <c r="AU13" s="45">
        <f>180/10</f>
        <v>18</v>
      </c>
      <c r="AV13" s="45">
        <f>0.017/10*1000</f>
        <v>1.7000000000000002</v>
      </c>
      <c r="AW13" s="45">
        <f>300/10</f>
        <v>30</v>
      </c>
      <c r="AX13" s="45">
        <f>0.31/10</f>
        <v>0.031</v>
      </c>
      <c r="AY13" s="45">
        <f>0.022/10*1000</f>
        <v>2.1999999999999997</v>
      </c>
      <c r="AZ13" s="45">
        <f>1.2/10</f>
        <v>0.12</v>
      </c>
      <c r="BA13" s="45">
        <f>120/10</f>
        <v>12</v>
      </c>
      <c r="BB13" s="45">
        <f>7.4/10</f>
        <v>0.74</v>
      </c>
      <c r="BC13" s="45">
        <f>0.36/10*1000</f>
        <v>36</v>
      </c>
      <c r="BD13" s="45" t="s">
        <v>7</v>
      </c>
      <c r="BE13" s="45">
        <f>0.47/10*1000</f>
        <v>47</v>
      </c>
      <c r="BF13" s="45">
        <f>1.8/10</f>
        <v>0.18</v>
      </c>
      <c r="BG13" s="45" t="s">
        <v>7</v>
      </c>
      <c r="BH13" s="45">
        <f>470/10</f>
        <v>47</v>
      </c>
      <c r="BI13" s="45">
        <f>0.031/10*1000</f>
        <v>3.1</v>
      </c>
    </row>
    <row r="14" spans="1:61" ht="12.75" customHeight="1">
      <c r="A14" s="44" t="s">
        <v>203</v>
      </c>
      <c r="B14" s="44" t="s">
        <v>208</v>
      </c>
      <c r="AA14" s="45">
        <v>52</v>
      </c>
      <c r="AS14" s="45" t="s">
        <v>7</v>
      </c>
      <c r="AT14" s="45">
        <f>2000/10</f>
        <v>200</v>
      </c>
      <c r="AU14" s="45">
        <f>150/10</f>
        <v>15</v>
      </c>
      <c r="AV14" s="45" t="s">
        <v>7</v>
      </c>
      <c r="AW14" s="45">
        <f>130/10</f>
        <v>13</v>
      </c>
      <c r="AX14" s="45">
        <f>0.82/10</f>
        <v>0.08199999999999999</v>
      </c>
      <c r="AY14" s="45" t="s">
        <v>7</v>
      </c>
      <c r="AZ14" s="45">
        <f>3.3/10</f>
        <v>0.32999999999999996</v>
      </c>
      <c r="BA14" s="45">
        <f>110/10</f>
        <v>11</v>
      </c>
      <c r="BB14" s="45">
        <f>11/10</f>
        <v>1.1</v>
      </c>
      <c r="BC14" s="45">
        <f>0.095/10*1000</f>
        <v>9.5</v>
      </c>
      <c r="BD14" s="45" t="s">
        <v>7</v>
      </c>
      <c r="BE14" s="45" t="s">
        <v>126</v>
      </c>
      <c r="BF14" s="45">
        <f>4.8/10</f>
        <v>0.48</v>
      </c>
      <c r="BG14" s="45" t="s">
        <v>7</v>
      </c>
      <c r="BH14" s="45">
        <f>580/10</f>
        <v>58</v>
      </c>
      <c r="BI14" s="45">
        <f>0.16/10*1000</f>
        <v>16</v>
      </c>
    </row>
    <row r="15" spans="1:61" ht="12.75" customHeight="1">
      <c r="A15" s="44" t="s">
        <v>209</v>
      </c>
      <c r="B15" s="44" t="s">
        <v>2</v>
      </c>
      <c r="C15" s="45">
        <v>91.8</v>
      </c>
      <c r="D15" s="45" t="s">
        <v>3</v>
      </c>
      <c r="E15" s="45">
        <v>1.8</v>
      </c>
      <c r="F15" s="45">
        <v>0.7</v>
      </c>
      <c r="G15" s="45">
        <v>1.2</v>
      </c>
      <c r="H15" s="45">
        <v>1.1</v>
      </c>
      <c r="I15" s="45">
        <v>0.3</v>
      </c>
      <c r="J15" s="45" t="s">
        <v>3</v>
      </c>
      <c r="K15" s="45" t="s">
        <v>3</v>
      </c>
      <c r="M15" s="45">
        <v>2.6</v>
      </c>
      <c r="N15" s="45">
        <v>2.8</v>
      </c>
      <c r="O15" s="45">
        <v>0.6</v>
      </c>
      <c r="Q15" s="45" t="s">
        <v>175</v>
      </c>
      <c r="R15" s="45">
        <v>290</v>
      </c>
      <c r="S15" s="45" t="s">
        <v>175</v>
      </c>
      <c r="T15" s="45">
        <v>0.06</v>
      </c>
      <c r="U15" s="45">
        <v>0.03</v>
      </c>
      <c r="V15" s="45" t="s">
        <v>8</v>
      </c>
      <c r="W15" s="45">
        <v>0.065</v>
      </c>
      <c r="X15" s="45">
        <v>0.05</v>
      </c>
      <c r="Y15" s="45">
        <v>36.2</v>
      </c>
      <c r="AA15" s="45">
        <v>3.5</v>
      </c>
      <c r="AK15" s="45" t="s">
        <v>6</v>
      </c>
      <c r="AL15" s="45" t="s">
        <v>6</v>
      </c>
      <c r="AM15" s="45" t="s">
        <v>6</v>
      </c>
      <c r="AN15" s="45" t="s">
        <v>6</v>
      </c>
      <c r="AO15" s="45" t="s">
        <v>6</v>
      </c>
      <c r="AP15" s="45" t="s">
        <v>6</v>
      </c>
      <c r="AQ15" s="45" t="s">
        <v>6</v>
      </c>
      <c r="AR15" s="45">
        <f>0.13*100</f>
        <v>13</v>
      </c>
      <c r="AS15" s="45">
        <f>0.01/10*1000</f>
        <v>1</v>
      </c>
      <c r="AT15" s="45">
        <f>2800/10</f>
        <v>280</v>
      </c>
      <c r="AU15" s="45" t="s">
        <v>7</v>
      </c>
      <c r="AV15" s="45" t="s">
        <v>7</v>
      </c>
      <c r="AW15" s="45">
        <f>450/10</f>
        <v>45</v>
      </c>
      <c r="AX15" s="45">
        <f>0.48/10</f>
        <v>0.048</v>
      </c>
      <c r="AY15" s="45" t="s">
        <v>7</v>
      </c>
      <c r="AZ15" s="45">
        <f>1.4/10</f>
        <v>0.13999999999999999</v>
      </c>
      <c r="BA15" s="45">
        <f>240/10</f>
        <v>24</v>
      </c>
      <c r="BB15" s="45">
        <f>6.9/10</f>
        <v>0.6900000000000001</v>
      </c>
      <c r="BC15" s="45">
        <f>0.042/10*1000</f>
        <v>4.2</v>
      </c>
      <c r="BD15" s="45" t="s">
        <v>7</v>
      </c>
      <c r="BE15" s="45">
        <f>0.64/10*1000</f>
        <v>64</v>
      </c>
      <c r="BF15" s="45">
        <f>2.7/10</f>
        <v>0.27</v>
      </c>
      <c r="BG15" s="45" t="s">
        <v>7</v>
      </c>
      <c r="BH15" s="45">
        <f>320/10</f>
        <v>32</v>
      </c>
      <c r="BI15" s="45">
        <f>0.3/10*1000</f>
        <v>30</v>
      </c>
    </row>
    <row r="16" spans="1:113" s="34" customFormat="1" ht="15">
      <c r="A16" s="40" t="s">
        <v>114</v>
      </c>
      <c r="B16" s="4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35"/>
    </row>
    <row r="17" spans="1:3" ht="12.75" customHeight="1">
      <c r="A17" s="44" t="s">
        <v>210</v>
      </c>
      <c r="B17" s="44" t="s">
        <v>2</v>
      </c>
      <c r="C17" s="45">
        <v>89</v>
      </c>
    </row>
    <row r="18" spans="1:27" ht="12.75" customHeight="1">
      <c r="A18" s="44" t="s">
        <v>210</v>
      </c>
      <c r="B18" s="44" t="s">
        <v>204</v>
      </c>
      <c r="AA18" s="45">
        <v>75</v>
      </c>
    </row>
    <row r="19" spans="1:27" ht="12.75" customHeight="1">
      <c r="A19" s="44" t="s">
        <v>210</v>
      </c>
      <c r="B19" s="44" t="s">
        <v>205</v>
      </c>
      <c r="AA19" s="45">
        <v>90</v>
      </c>
    </row>
    <row r="20" spans="1:27" ht="12.75" customHeight="1">
      <c r="A20" s="44" t="s">
        <v>210</v>
      </c>
      <c r="B20" s="44" t="s">
        <v>130</v>
      </c>
      <c r="AA20" s="45">
        <v>31</v>
      </c>
    </row>
    <row r="21" spans="1:27" ht="12.75" customHeight="1">
      <c r="A21" s="44" t="s">
        <v>210</v>
      </c>
      <c r="B21" s="44" t="s">
        <v>206</v>
      </c>
      <c r="AA21" s="45">
        <v>63</v>
      </c>
    </row>
    <row r="22" spans="1:27" ht="12.75" customHeight="1">
      <c r="A22" s="44" t="s">
        <v>210</v>
      </c>
      <c r="B22" s="44" t="s">
        <v>132</v>
      </c>
      <c r="AA22" s="45">
        <v>67</v>
      </c>
    </row>
    <row r="23" spans="1:27" ht="12.75" customHeight="1">
      <c r="A23" s="44" t="s">
        <v>210</v>
      </c>
      <c r="B23" s="44" t="s">
        <v>133</v>
      </c>
      <c r="AA23" s="45">
        <v>75</v>
      </c>
    </row>
    <row r="24" spans="1:27" ht="12.75" customHeight="1">
      <c r="A24" s="44" t="s">
        <v>210</v>
      </c>
      <c r="B24" s="44" t="s">
        <v>207</v>
      </c>
      <c r="AA24" s="45">
        <v>35</v>
      </c>
    </row>
    <row r="25" spans="1:27" ht="12.75" customHeight="1">
      <c r="A25" s="44" t="s">
        <v>210</v>
      </c>
      <c r="B25" s="44" t="s">
        <v>208</v>
      </c>
      <c r="AA25" s="45">
        <v>70</v>
      </c>
    </row>
    <row r="26" spans="1:3" ht="12.75" customHeight="1">
      <c r="A26" s="44" t="s">
        <v>211</v>
      </c>
      <c r="B26" s="44" t="s">
        <v>2</v>
      </c>
      <c r="C26" s="45">
        <v>90.1</v>
      </c>
    </row>
    <row r="27" spans="1:27" ht="12.75" customHeight="1">
      <c r="A27" s="44" t="s">
        <v>211</v>
      </c>
      <c r="B27" s="44" t="s">
        <v>204</v>
      </c>
      <c r="AA27" s="45">
        <v>22</v>
      </c>
    </row>
    <row r="28" spans="1:27" ht="12.75" customHeight="1">
      <c r="A28" s="44" t="s">
        <v>211</v>
      </c>
      <c r="B28" s="44" t="s">
        <v>205</v>
      </c>
      <c r="AA28" s="45">
        <v>86</v>
      </c>
    </row>
    <row r="29" spans="1:27" ht="12.75" customHeight="1">
      <c r="A29" s="44" t="s">
        <v>211</v>
      </c>
      <c r="B29" s="44" t="s">
        <v>130</v>
      </c>
      <c r="AA29" s="45">
        <v>95</v>
      </c>
    </row>
    <row r="30" spans="1:27" ht="12.75" customHeight="1">
      <c r="A30" s="44" t="s">
        <v>211</v>
      </c>
      <c r="B30" s="44" t="s">
        <v>206</v>
      </c>
      <c r="AA30" s="45">
        <v>23</v>
      </c>
    </row>
    <row r="31" spans="1:27" ht="12.75" customHeight="1">
      <c r="A31" s="44" t="s">
        <v>211</v>
      </c>
      <c r="B31" s="44" t="s">
        <v>132</v>
      </c>
      <c r="AA31" s="45">
        <v>44</v>
      </c>
    </row>
    <row r="32" spans="1:27" ht="12.75" customHeight="1">
      <c r="A32" s="44" t="s">
        <v>211</v>
      </c>
      <c r="B32" s="44" t="s">
        <v>133</v>
      </c>
      <c r="AA32" s="45">
        <v>84</v>
      </c>
    </row>
    <row r="33" spans="1:27" ht="12.75" customHeight="1">
      <c r="A33" s="44" t="s">
        <v>211</v>
      </c>
      <c r="B33" s="44" t="s">
        <v>207</v>
      </c>
      <c r="AA33" s="45">
        <v>27</v>
      </c>
    </row>
    <row r="34" spans="1:27" ht="12.75" customHeight="1">
      <c r="A34" s="44" t="s">
        <v>211</v>
      </c>
      <c r="B34" s="44" t="s">
        <v>208</v>
      </c>
      <c r="AA34" s="45">
        <v>49</v>
      </c>
    </row>
    <row r="35" spans="1:113" s="34" customFormat="1" ht="15">
      <c r="A35" s="40" t="s">
        <v>186</v>
      </c>
      <c r="B35" s="40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35"/>
    </row>
    <row r="36" spans="1:112" ht="12.75" customHeight="1">
      <c r="A36" s="44" t="s">
        <v>212</v>
      </c>
      <c r="B36" s="44" t="s">
        <v>2</v>
      </c>
      <c r="C36" s="45">
        <v>87.7</v>
      </c>
      <c r="D36" s="45">
        <v>3.2</v>
      </c>
      <c r="E36" s="45">
        <v>3.1</v>
      </c>
      <c r="F36" s="45">
        <v>0.2</v>
      </c>
      <c r="G36" s="45" t="s">
        <v>3</v>
      </c>
      <c r="H36" s="45">
        <v>2.3</v>
      </c>
      <c r="I36" s="45" t="s">
        <v>3</v>
      </c>
      <c r="J36" s="45" t="s">
        <v>3</v>
      </c>
      <c r="K36" s="45" t="s">
        <v>3</v>
      </c>
      <c r="L36" s="45">
        <v>2.2</v>
      </c>
      <c r="M36" s="45">
        <v>4.5</v>
      </c>
      <c r="N36" s="45">
        <v>0.1</v>
      </c>
      <c r="O36" s="45">
        <v>0.7</v>
      </c>
      <c r="P36" s="45">
        <v>46</v>
      </c>
      <c r="Q36" s="45" t="s">
        <v>175</v>
      </c>
      <c r="R36" s="45">
        <v>38</v>
      </c>
      <c r="S36" s="45" t="s">
        <v>175</v>
      </c>
      <c r="T36" s="45">
        <v>0.05</v>
      </c>
      <c r="U36" s="45">
        <v>0.15</v>
      </c>
      <c r="V36" s="45" t="s">
        <v>8</v>
      </c>
      <c r="W36" s="45">
        <v>0.28</v>
      </c>
      <c r="X36" s="45">
        <v>0.02</v>
      </c>
      <c r="Y36" s="45" t="s">
        <v>42</v>
      </c>
      <c r="Z36" s="45">
        <v>0.453</v>
      </c>
      <c r="AA36" s="45" t="s">
        <v>7</v>
      </c>
      <c r="AB36" s="45" t="s">
        <v>5</v>
      </c>
      <c r="AC36" s="45">
        <v>0.1</v>
      </c>
      <c r="AD36" s="45" t="s">
        <v>5</v>
      </c>
      <c r="AE36" s="45" t="s">
        <v>5</v>
      </c>
      <c r="AF36" s="45" t="s">
        <v>5</v>
      </c>
      <c r="AG36" s="45" t="s">
        <v>5</v>
      </c>
      <c r="AH36" s="45" t="s">
        <v>5</v>
      </c>
      <c r="AI36" s="45" t="s">
        <v>5</v>
      </c>
      <c r="AK36" s="45" t="s">
        <v>6</v>
      </c>
      <c r="AL36" s="45" t="s">
        <v>6</v>
      </c>
      <c r="AM36" s="45" t="s">
        <v>6</v>
      </c>
      <c r="AN36" s="45" t="s">
        <v>6</v>
      </c>
      <c r="AO36" s="45" t="s">
        <v>6</v>
      </c>
      <c r="AP36" s="45">
        <f>180/1000</f>
        <v>0.18</v>
      </c>
      <c r="AQ36" s="45" t="s">
        <v>6</v>
      </c>
      <c r="AR36" s="45">
        <f>0.35*100</f>
        <v>35</v>
      </c>
      <c r="AS36" s="45">
        <f>0.28/10*1000</f>
        <v>28.000000000000004</v>
      </c>
      <c r="AT36" s="45">
        <f>1500/10</f>
        <v>150</v>
      </c>
      <c r="AU36" s="45">
        <f>350/10</f>
        <v>35</v>
      </c>
      <c r="AV36" s="45" t="s">
        <v>7</v>
      </c>
      <c r="AW36" s="45">
        <f>1100/10</f>
        <v>110</v>
      </c>
      <c r="AX36" s="45">
        <f>0.039/10</f>
        <v>0.0039</v>
      </c>
      <c r="AY36" s="45" t="s">
        <v>7</v>
      </c>
      <c r="AZ36" s="45">
        <f>0.025/10</f>
        <v>0.0025</v>
      </c>
      <c r="BA36" s="45">
        <f>100/10</f>
        <v>10</v>
      </c>
      <c r="BB36" s="45" t="s">
        <v>3</v>
      </c>
      <c r="BC36" s="45" t="s">
        <v>7</v>
      </c>
      <c r="BD36" s="45" t="s">
        <v>7</v>
      </c>
      <c r="BE36" s="45" t="s">
        <v>126</v>
      </c>
      <c r="BF36" s="45">
        <f>3.8/10</f>
        <v>0.38</v>
      </c>
      <c r="BG36" s="45">
        <f>0.021/10*1000</f>
        <v>2.1</v>
      </c>
      <c r="BH36" s="45">
        <f>830/10</f>
        <v>83</v>
      </c>
      <c r="BI36" s="45">
        <f>0.03/10*1000</f>
        <v>3</v>
      </c>
      <c r="BJ36" s="45">
        <v>11</v>
      </c>
      <c r="BK36" s="48">
        <v>0.0288</v>
      </c>
      <c r="BL36" s="48">
        <v>0.0928</v>
      </c>
      <c r="BM36" s="48">
        <f>BN36+BO36</f>
        <v>0.07680000000000001</v>
      </c>
      <c r="BN36" s="48">
        <v>0.0128</v>
      </c>
      <c r="BO36" s="48">
        <v>0.064</v>
      </c>
      <c r="BP36" s="48">
        <v>0.064</v>
      </c>
      <c r="BQ36" s="48">
        <v>0.7264</v>
      </c>
      <c r="BR36" s="48">
        <v>2.288</v>
      </c>
      <c r="BS36" s="45">
        <v>3</v>
      </c>
      <c r="BT36" s="45">
        <v>2.6</v>
      </c>
      <c r="BU36" s="45">
        <v>1.3</v>
      </c>
      <c r="BV36" s="45">
        <v>2.9</v>
      </c>
      <c r="BW36" s="45">
        <v>3.5</v>
      </c>
      <c r="BX36" s="45">
        <v>11.6</v>
      </c>
      <c r="BY36" s="45">
        <v>1.3</v>
      </c>
      <c r="BZ36" s="45">
        <v>32.4</v>
      </c>
      <c r="CA36" s="45">
        <v>0.8</v>
      </c>
      <c r="CB36" s="45">
        <v>11.7</v>
      </c>
      <c r="CC36" s="45">
        <v>0.2</v>
      </c>
      <c r="CD36" s="45" t="s">
        <v>5</v>
      </c>
      <c r="CE36" s="45" t="s">
        <v>5</v>
      </c>
      <c r="CF36" s="45">
        <v>1</v>
      </c>
      <c r="CG36" s="45">
        <v>1.9</v>
      </c>
      <c r="CH36" s="45" t="s">
        <v>5</v>
      </c>
      <c r="CI36" s="45">
        <v>19.7</v>
      </c>
      <c r="CJ36" s="45" t="s">
        <v>5</v>
      </c>
      <c r="CK36" s="45" t="s">
        <v>5</v>
      </c>
      <c r="CL36" s="45" t="s">
        <v>5</v>
      </c>
      <c r="CM36" s="45">
        <v>1.7</v>
      </c>
      <c r="CN36" s="45" t="s">
        <v>5</v>
      </c>
      <c r="CO36" s="45">
        <v>0.7</v>
      </c>
      <c r="CP36" s="45" t="s">
        <v>5</v>
      </c>
      <c r="CQ36" s="45" t="s">
        <v>5</v>
      </c>
      <c r="CR36" s="45" t="s">
        <v>5</v>
      </c>
      <c r="CS36" s="45">
        <v>0.1</v>
      </c>
      <c r="CT36" s="45" t="s">
        <v>5</v>
      </c>
      <c r="CU36" s="45" t="s">
        <v>5</v>
      </c>
      <c r="CV36" s="45" t="s">
        <v>5</v>
      </c>
      <c r="CW36" s="45" t="s">
        <v>5</v>
      </c>
      <c r="CX36" s="45" t="s">
        <v>5</v>
      </c>
      <c r="CY36" s="45">
        <v>0.2</v>
      </c>
      <c r="CZ36" s="45">
        <v>1.8</v>
      </c>
      <c r="DA36" s="45" t="s">
        <v>5</v>
      </c>
      <c r="DB36" s="45" t="s">
        <v>5</v>
      </c>
      <c r="DC36" s="45">
        <v>0.2</v>
      </c>
      <c r="DD36" s="45" t="s">
        <v>5</v>
      </c>
      <c r="DE36" s="45" t="s">
        <v>5</v>
      </c>
      <c r="DF36" s="45" t="s">
        <v>5</v>
      </c>
      <c r="DG36" s="45">
        <v>0.1</v>
      </c>
      <c r="DH36" s="45" t="s">
        <v>5</v>
      </c>
    </row>
    <row r="37" spans="1:112" ht="12.75" customHeight="1">
      <c r="A37" s="44" t="s">
        <v>213</v>
      </c>
      <c r="B37" s="44" t="s">
        <v>2</v>
      </c>
      <c r="C37" s="45">
        <v>48.4</v>
      </c>
      <c r="D37" s="45">
        <v>24.6</v>
      </c>
      <c r="E37" s="45">
        <v>18.2</v>
      </c>
      <c r="F37" s="45">
        <v>0.4</v>
      </c>
      <c r="G37" s="45" t="s">
        <v>3</v>
      </c>
      <c r="H37" s="45" t="s">
        <v>3</v>
      </c>
      <c r="I37" s="45" t="s">
        <v>3</v>
      </c>
      <c r="J37" s="45" t="s">
        <v>3</v>
      </c>
      <c r="K37" s="45">
        <v>1.5</v>
      </c>
      <c r="M37" s="45">
        <v>1.5</v>
      </c>
      <c r="N37" s="45">
        <v>0</v>
      </c>
      <c r="O37" s="45">
        <v>5.9</v>
      </c>
      <c r="P37" s="45">
        <v>310</v>
      </c>
      <c r="Q37" s="45" t="s">
        <v>175</v>
      </c>
      <c r="R37" s="45">
        <v>290</v>
      </c>
      <c r="S37" s="45" t="s">
        <v>175</v>
      </c>
      <c r="T37" s="45">
        <v>0.05</v>
      </c>
      <c r="U37" s="45">
        <v>0.3</v>
      </c>
      <c r="V37" s="45" t="s">
        <v>8</v>
      </c>
      <c r="W37" s="45">
        <v>0.21</v>
      </c>
      <c r="X37" s="45" t="s">
        <v>6</v>
      </c>
      <c r="Y37" s="45" t="s">
        <v>42</v>
      </c>
      <c r="Z37" s="45">
        <v>1.02</v>
      </c>
      <c r="AA37" s="45" t="s">
        <v>7</v>
      </c>
      <c r="AB37" s="45" t="s">
        <v>3</v>
      </c>
      <c r="AC37" s="45">
        <v>3.1</v>
      </c>
      <c r="AD37" s="45" t="s">
        <v>3</v>
      </c>
      <c r="AE37" s="45" t="s">
        <v>3</v>
      </c>
      <c r="AF37" s="45">
        <v>0.6</v>
      </c>
      <c r="AG37" s="45" t="s">
        <v>5</v>
      </c>
      <c r="AH37" s="45" t="s">
        <v>5</v>
      </c>
      <c r="AI37" s="45" t="s">
        <v>5</v>
      </c>
      <c r="AK37" s="45" t="s">
        <v>6</v>
      </c>
      <c r="AL37" s="45">
        <f>1000/1000</f>
        <v>1</v>
      </c>
      <c r="AM37" s="45" t="s">
        <v>6</v>
      </c>
      <c r="AN37" s="45" t="s">
        <v>6</v>
      </c>
      <c r="AO37" s="45" t="s">
        <v>6</v>
      </c>
      <c r="AP37" s="45">
        <f>1600/1000</f>
        <v>1.6</v>
      </c>
      <c r="AQ37" s="45" t="s">
        <v>6</v>
      </c>
      <c r="AR37" s="45">
        <f>2.12*100</f>
        <v>212</v>
      </c>
      <c r="AS37" s="45">
        <f>0.25/10*1000</f>
        <v>25</v>
      </c>
      <c r="AT37" s="45">
        <f>2500/10</f>
        <v>250</v>
      </c>
      <c r="AU37" s="45">
        <f>15000/10</f>
        <v>1500</v>
      </c>
      <c r="AV37" s="45" t="s">
        <v>7</v>
      </c>
      <c r="AW37" s="45">
        <f>7500/10</f>
        <v>750</v>
      </c>
      <c r="AX37" s="45">
        <f>0.23/10</f>
        <v>0.023</v>
      </c>
      <c r="AY37" s="45" t="s">
        <v>7</v>
      </c>
      <c r="AZ37" s="45">
        <f>0.57/10</f>
        <v>0.056999999999999995</v>
      </c>
      <c r="BA37" s="45">
        <f>270/10</f>
        <v>27</v>
      </c>
      <c r="BB37" s="45" t="s">
        <v>3</v>
      </c>
      <c r="BC37" s="45">
        <f>0.02/10*1000</f>
        <v>2</v>
      </c>
      <c r="BD37" s="45" t="s">
        <v>7</v>
      </c>
      <c r="BE37" s="45">
        <f>2.4/10*1000</f>
        <v>240</v>
      </c>
      <c r="BF37" s="45">
        <f>28/10</f>
        <v>2.8</v>
      </c>
      <c r="BG37" s="45">
        <f>0.099/10*1000</f>
        <v>9.9</v>
      </c>
      <c r="BH37" s="45">
        <f>5500/10</f>
        <v>550</v>
      </c>
      <c r="BI37" s="45">
        <f>0.082/10*1000</f>
        <v>8.200000000000001</v>
      </c>
      <c r="BJ37" s="45">
        <v>68</v>
      </c>
      <c r="BK37" s="48">
        <v>0.1968</v>
      </c>
      <c r="BL37" s="48">
        <v>0.6888</v>
      </c>
      <c r="BM37" s="48">
        <f>BN37+BO37</f>
        <v>0.8856</v>
      </c>
      <c r="BN37" s="48">
        <v>0.1722</v>
      </c>
      <c r="BO37" s="48">
        <v>0.7134</v>
      </c>
      <c r="BP37" s="48">
        <v>0.4674</v>
      </c>
      <c r="BQ37" s="48">
        <v>5.6826</v>
      </c>
      <c r="BR37" s="48">
        <v>17.22</v>
      </c>
      <c r="BS37" s="45">
        <v>3</v>
      </c>
      <c r="BT37" s="45">
        <v>2.7</v>
      </c>
      <c r="BU37" s="45">
        <v>1.6</v>
      </c>
      <c r="BV37" s="45">
        <v>3</v>
      </c>
      <c r="BW37" s="45">
        <v>3.6</v>
      </c>
      <c r="BX37" s="45">
        <v>10.9</v>
      </c>
      <c r="BY37" s="45">
        <v>1.2</v>
      </c>
      <c r="BZ37" s="45">
        <v>30.5</v>
      </c>
      <c r="CA37" s="45">
        <v>0.8</v>
      </c>
      <c r="CB37" s="45">
        <v>12.5</v>
      </c>
      <c r="CC37" s="45">
        <v>0.2</v>
      </c>
      <c r="CD37" s="45" t="s">
        <v>5</v>
      </c>
      <c r="CE37" s="45" t="s">
        <v>5</v>
      </c>
      <c r="CF37" s="45">
        <v>0.8</v>
      </c>
      <c r="CG37" s="45">
        <v>1.8</v>
      </c>
      <c r="CH37" s="45" t="s">
        <v>5</v>
      </c>
      <c r="CI37" s="45">
        <v>20.3</v>
      </c>
      <c r="CJ37" s="45" t="s">
        <v>5</v>
      </c>
      <c r="CK37" s="45" t="s">
        <v>5</v>
      </c>
      <c r="CL37" s="45" t="s">
        <v>5</v>
      </c>
      <c r="CM37" s="45">
        <v>1.7</v>
      </c>
      <c r="CN37" s="45" t="s">
        <v>5</v>
      </c>
      <c r="CO37" s="45">
        <v>0.7</v>
      </c>
      <c r="CP37" s="45" t="s">
        <v>5</v>
      </c>
      <c r="CQ37" s="45" t="s">
        <v>5</v>
      </c>
      <c r="CR37" s="45" t="s">
        <v>5</v>
      </c>
      <c r="CS37" s="45">
        <v>0.1</v>
      </c>
      <c r="CT37" s="45" t="s">
        <v>5</v>
      </c>
      <c r="CU37" s="45" t="s">
        <v>5</v>
      </c>
      <c r="CV37" s="45" t="s">
        <v>5</v>
      </c>
      <c r="CW37" s="45">
        <v>0.1</v>
      </c>
      <c r="CX37" s="45" t="s">
        <v>5</v>
      </c>
      <c r="CY37" s="45">
        <v>0.2</v>
      </c>
      <c r="CZ37" s="45">
        <v>2.7</v>
      </c>
      <c r="DA37" s="45" t="s">
        <v>5</v>
      </c>
      <c r="DB37" s="45">
        <v>0.1</v>
      </c>
      <c r="DC37" s="45">
        <v>0.4</v>
      </c>
      <c r="DD37" s="45" t="s">
        <v>5</v>
      </c>
      <c r="DE37" s="45" t="s">
        <v>5</v>
      </c>
      <c r="DF37" s="45" t="s">
        <v>5</v>
      </c>
      <c r="DG37" s="45">
        <v>0.1</v>
      </c>
      <c r="DH37" s="45" t="s">
        <v>5</v>
      </c>
    </row>
    <row r="38" spans="1:112" ht="12.75" customHeight="1">
      <c r="A38" s="44" t="s">
        <v>214</v>
      </c>
      <c r="B38" s="44" t="s">
        <v>2</v>
      </c>
      <c r="C38" s="45">
        <v>76.4</v>
      </c>
      <c r="D38" s="45">
        <v>1.9</v>
      </c>
      <c r="E38" s="45">
        <v>5</v>
      </c>
      <c r="F38" s="45">
        <v>1</v>
      </c>
      <c r="G38" s="45">
        <v>0.5</v>
      </c>
      <c r="H38" s="45" t="s">
        <v>3</v>
      </c>
      <c r="I38" s="45">
        <v>7.1</v>
      </c>
      <c r="J38" s="45" t="s">
        <v>3</v>
      </c>
      <c r="K38" s="45">
        <v>4.4</v>
      </c>
      <c r="M38" s="45">
        <v>12</v>
      </c>
      <c r="N38" s="45">
        <v>0.2</v>
      </c>
      <c r="O38" s="45">
        <v>1</v>
      </c>
      <c r="P38" s="45">
        <v>28</v>
      </c>
      <c r="Q38" s="45" t="s">
        <v>175</v>
      </c>
      <c r="R38" s="45">
        <v>58</v>
      </c>
      <c r="S38" s="45" t="s">
        <v>175</v>
      </c>
      <c r="T38" s="45">
        <v>0.05</v>
      </c>
      <c r="U38" s="45">
        <v>0.2</v>
      </c>
      <c r="V38" s="45" t="s">
        <v>8</v>
      </c>
      <c r="W38" s="45">
        <v>0.28</v>
      </c>
      <c r="X38" s="45">
        <v>0.03</v>
      </c>
      <c r="Y38" s="45">
        <v>7.06</v>
      </c>
      <c r="Z38" s="45">
        <v>0.417</v>
      </c>
      <c r="AB38" s="45" t="s">
        <v>3</v>
      </c>
      <c r="AC38" s="45" t="s">
        <v>3</v>
      </c>
      <c r="AD38" s="45" t="s">
        <v>3</v>
      </c>
      <c r="AE38" s="45" t="s">
        <v>3</v>
      </c>
      <c r="AF38" s="45" t="s">
        <v>5</v>
      </c>
      <c r="AG38" s="45" t="s">
        <v>5</v>
      </c>
      <c r="AH38" s="45" t="s">
        <v>5</v>
      </c>
      <c r="AI38" s="45" t="s">
        <v>5</v>
      </c>
      <c r="AK38" s="45" t="s">
        <v>6</v>
      </c>
      <c r="AL38" s="45">
        <f>1100/1000</f>
        <v>1.1</v>
      </c>
      <c r="AM38" s="45" t="s">
        <v>6</v>
      </c>
      <c r="AN38" s="45" t="s">
        <v>6</v>
      </c>
      <c r="AO38" s="45" t="s">
        <v>6</v>
      </c>
      <c r="AP38" s="45">
        <f>260/1000</f>
        <v>0.26</v>
      </c>
      <c r="AQ38" s="45" t="s">
        <v>6</v>
      </c>
      <c r="AR38" s="45">
        <f>0.62*100</f>
        <v>62</v>
      </c>
      <c r="AS38" s="45">
        <f>0.25/10*1000</f>
        <v>25</v>
      </c>
      <c r="AT38" s="45">
        <f>2300/10</f>
        <v>230</v>
      </c>
      <c r="AU38" s="45">
        <f>520/10</f>
        <v>52</v>
      </c>
      <c r="AV38" s="45" t="s">
        <v>7</v>
      </c>
      <c r="AW38" s="45">
        <f>1700/10</f>
        <v>170</v>
      </c>
      <c r="AX38" s="45">
        <f>0.069/10</f>
        <v>0.006900000000000001</v>
      </c>
      <c r="AY38" s="45" t="s">
        <v>7</v>
      </c>
      <c r="AZ38" s="45">
        <f>0.047/10</f>
        <v>0.0047</v>
      </c>
      <c r="BA38" s="45">
        <f>150/10</f>
        <v>15</v>
      </c>
      <c r="BB38" s="45" t="s">
        <v>3</v>
      </c>
      <c r="BC38" s="45" t="s">
        <v>7</v>
      </c>
      <c r="BD38" s="45" t="s">
        <v>7</v>
      </c>
      <c r="BE38" s="45" t="s">
        <v>126</v>
      </c>
      <c r="BF38" s="45">
        <f>5.7/10</f>
        <v>0.5700000000000001</v>
      </c>
      <c r="BG38" s="45">
        <f>0.021/10*1000</f>
        <v>2.1</v>
      </c>
      <c r="BH38" s="45">
        <f>1300/10</f>
        <v>130</v>
      </c>
      <c r="BI38" s="45">
        <f>0.042/10*1000</f>
        <v>4.2</v>
      </c>
      <c r="BJ38" s="45">
        <v>8.5</v>
      </c>
      <c r="BK38" s="48">
        <v>0.0304</v>
      </c>
      <c r="BL38" s="48">
        <v>0.0684</v>
      </c>
      <c r="BM38" s="48">
        <f>BN38+BO38</f>
        <v>0.0513</v>
      </c>
      <c r="BN38" s="48">
        <v>0.0095</v>
      </c>
      <c r="BO38" s="48">
        <v>0.0418</v>
      </c>
      <c r="BP38" s="48">
        <v>0.038</v>
      </c>
      <c r="BQ38" s="48">
        <v>0.4142</v>
      </c>
      <c r="BR38" s="48">
        <v>1.3547</v>
      </c>
      <c r="BS38" s="45">
        <v>2.7</v>
      </c>
      <c r="BT38" s="45">
        <v>2.4</v>
      </c>
      <c r="BU38" s="45">
        <v>1.4</v>
      </c>
      <c r="BV38" s="45">
        <v>3.1</v>
      </c>
      <c r="BW38" s="45">
        <v>3.6</v>
      </c>
      <c r="BX38" s="45">
        <v>11.9</v>
      </c>
      <c r="BY38" s="45">
        <v>1.3</v>
      </c>
      <c r="BZ38" s="45">
        <v>33.3</v>
      </c>
      <c r="CA38" s="45">
        <v>0.8</v>
      </c>
      <c r="CB38" s="45">
        <v>10.5</v>
      </c>
      <c r="CC38" s="45">
        <v>0.2</v>
      </c>
      <c r="CD38" s="45" t="s">
        <v>5</v>
      </c>
      <c r="CE38" s="45" t="s">
        <v>5</v>
      </c>
      <c r="CF38" s="45">
        <v>1.1</v>
      </c>
      <c r="CG38" s="45">
        <v>2.1</v>
      </c>
      <c r="CH38" s="45" t="s">
        <v>5</v>
      </c>
      <c r="CI38" s="45">
        <v>18.6</v>
      </c>
      <c r="CJ38" s="45" t="s">
        <v>5</v>
      </c>
      <c r="CK38" s="45" t="s">
        <v>5</v>
      </c>
      <c r="CL38" s="45" t="s">
        <v>5</v>
      </c>
      <c r="CM38" s="45">
        <v>1.8</v>
      </c>
      <c r="CN38" s="45" t="s">
        <v>5</v>
      </c>
      <c r="CO38" s="45">
        <v>1.4</v>
      </c>
      <c r="CP38" s="45" t="s">
        <v>5</v>
      </c>
      <c r="CQ38" s="45" t="s">
        <v>5</v>
      </c>
      <c r="CR38" s="45" t="s">
        <v>5</v>
      </c>
      <c r="CS38" s="45" t="s">
        <v>5</v>
      </c>
      <c r="CT38" s="45" t="s">
        <v>5</v>
      </c>
      <c r="CU38" s="45" t="s">
        <v>5</v>
      </c>
      <c r="CV38" s="45" t="s">
        <v>5</v>
      </c>
      <c r="CW38" s="45">
        <v>0.1</v>
      </c>
      <c r="CX38" s="45" t="s">
        <v>5</v>
      </c>
      <c r="CY38" s="45">
        <v>0.2</v>
      </c>
      <c r="CZ38" s="45">
        <v>2</v>
      </c>
      <c r="DA38" s="45" t="s">
        <v>5</v>
      </c>
      <c r="DB38" s="45">
        <v>0.1</v>
      </c>
      <c r="DC38" s="45">
        <v>0.2</v>
      </c>
      <c r="DD38" s="45" t="s">
        <v>5</v>
      </c>
      <c r="DE38" s="45" t="s">
        <v>5</v>
      </c>
      <c r="DF38" s="45" t="s">
        <v>5</v>
      </c>
      <c r="DG38" s="45" t="s">
        <v>5</v>
      </c>
      <c r="DH38" s="45">
        <v>0.1</v>
      </c>
    </row>
    <row r="39" spans="1:113" s="34" customFormat="1" ht="15">
      <c r="A39" s="40" t="s">
        <v>215</v>
      </c>
      <c r="B39" s="40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35"/>
    </row>
    <row r="40" spans="1:112" ht="12.75" customHeight="1">
      <c r="A40" s="44" t="s">
        <v>216</v>
      </c>
      <c r="B40" s="44" t="s">
        <v>2</v>
      </c>
      <c r="C40" s="45">
        <v>86.6</v>
      </c>
      <c r="D40" s="45">
        <v>0.8</v>
      </c>
      <c r="E40" s="45">
        <v>1.3</v>
      </c>
      <c r="F40" s="45">
        <v>7.1</v>
      </c>
      <c r="G40" s="45" t="s">
        <v>3</v>
      </c>
      <c r="H40" s="45">
        <v>1.5</v>
      </c>
      <c r="I40" s="45" t="s">
        <v>3</v>
      </c>
      <c r="J40" s="45">
        <v>1.6</v>
      </c>
      <c r="K40" s="45" t="s">
        <v>3</v>
      </c>
      <c r="M40" s="45">
        <v>3.1</v>
      </c>
      <c r="N40" s="45">
        <v>0.3</v>
      </c>
      <c r="O40" s="45">
        <v>0.4</v>
      </c>
      <c r="Q40" s="45" t="s">
        <v>175</v>
      </c>
      <c r="R40" s="45" t="s">
        <v>175</v>
      </c>
      <c r="S40" s="45" t="s">
        <v>175</v>
      </c>
      <c r="T40" s="45">
        <v>0.07</v>
      </c>
      <c r="U40" s="45" t="s">
        <v>6</v>
      </c>
      <c r="V40" s="45" t="s">
        <v>8</v>
      </c>
      <c r="W40" s="45" t="s">
        <v>45</v>
      </c>
      <c r="X40" s="45" t="s">
        <v>6</v>
      </c>
      <c r="Y40" s="45" t="s">
        <v>42</v>
      </c>
      <c r="AF40" s="45" t="s">
        <v>5</v>
      </c>
      <c r="AG40" s="45" t="s">
        <v>5</v>
      </c>
      <c r="AH40" s="45" t="s">
        <v>5</v>
      </c>
      <c r="AI40" s="45" t="s">
        <v>5</v>
      </c>
      <c r="AR40" s="45">
        <f>0.15*100</f>
        <v>15</v>
      </c>
      <c r="AS40" s="45">
        <f>0.012/10*1000</f>
        <v>1.2000000000000002</v>
      </c>
      <c r="AT40" s="45">
        <f>470/10</f>
        <v>47</v>
      </c>
      <c r="AU40" s="45">
        <f>380/10</f>
        <v>38</v>
      </c>
      <c r="AV40" s="45" t="s">
        <v>7</v>
      </c>
      <c r="AW40" s="45">
        <f>660/10</f>
        <v>66</v>
      </c>
      <c r="AX40" s="45">
        <f>0.42/10</f>
        <v>0.041999999999999996</v>
      </c>
      <c r="AY40" s="45" t="s">
        <v>7</v>
      </c>
      <c r="AZ40" s="45">
        <f>1.7/10</f>
        <v>0.16999999999999998</v>
      </c>
      <c r="BA40" s="45">
        <f>63/10</f>
        <v>6.3</v>
      </c>
      <c r="BB40" s="45" t="s">
        <v>3</v>
      </c>
      <c r="BC40" s="45" t="s">
        <v>7</v>
      </c>
      <c r="BD40" s="45" t="s">
        <v>7</v>
      </c>
      <c r="BE40" s="45" t="s">
        <v>126</v>
      </c>
      <c r="BF40" s="45">
        <f>0.76/10</f>
        <v>0.076</v>
      </c>
      <c r="BG40" s="45" t="s">
        <v>7</v>
      </c>
      <c r="BH40" s="45">
        <f>500/10</f>
        <v>50</v>
      </c>
      <c r="BI40" s="45">
        <f>0.099/10*1000</f>
        <v>9.9</v>
      </c>
      <c r="BK40" s="48">
        <v>0.0064</v>
      </c>
      <c r="BL40" s="48">
        <v>0.2456</v>
      </c>
      <c r="BM40" s="48">
        <v>0</v>
      </c>
      <c r="BN40" s="48">
        <v>0</v>
      </c>
      <c r="BO40" s="48">
        <v>0.008</v>
      </c>
      <c r="BP40" s="48">
        <v>0.2392</v>
      </c>
      <c r="BQ40" s="48">
        <v>0.3736</v>
      </c>
      <c r="BR40" s="48">
        <v>0.172</v>
      </c>
      <c r="BS40" s="45" t="s">
        <v>5</v>
      </c>
      <c r="BT40" s="45" t="s">
        <v>5</v>
      </c>
      <c r="BU40" s="45">
        <v>0.1</v>
      </c>
      <c r="BV40" s="45">
        <v>0.2</v>
      </c>
      <c r="BW40" s="45">
        <v>1.5</v>
      </c>
      <c r="BX40" s="45">
        <v>0.8</v>
      </c>
      <c r="BY40" s="45" t="s">
        <v>5</v>
      </c>
      <c r="BZ40" s="45">
        <v>15.9</v>
      </c>
      <c r="CA40" s="45" t="s">
        <v>5</v>
      </c>
      <c r="CB40" s="45">
        <v>2.4</v>
      </c>
      <c r="CC40" s="45">
        <v>0.2</v>
      </c>
      <c r="CD40" s="45">
        <v>0.2</v>
      </c>
      <c r="CE40" s="45">
        <v>0.2</v>
      </c>
      <c r="CF40" s="45" t="s">
        <v>5</v>
      </c>
      <c r="CG40" s="45" t="s">
        <v>5</v>
      </c>
      <c r="CH40" s="45" t="s">
        <v>5</v>
      </c>
      <c r="CI40" s="45">
        <v>45.8</v>
      </c>
      <c r="CJ40" s="45">
        <v>0.7</v>
      </c>
      <c r="CK40" s="45" t="s">
        <v>5</v>
      </c>
      <c r="CL40" s="45">
        <v>0.1</v>
      </c>
      <c r="CM40" s="45">
        <v>29.8</v>
      </c>
      <c r="CN40" s="45" t="s">
        <v>5</v>
      </c>
      <c r="CO40" s="45">
        <v>0.8</v>
      </c>
      <c r="CP40" s="45" t="s">
        <v>5</v>
      </c>
      <c r="CQ40" s="45" t="s">
        <v>5</v>
      </c>
      <c r="CR40" s="45" t="s">
        <v>5</v>
      </c>
      <c r="CS40" s="45" t="s">
        <v>5</v>
      </c>
      <c r="CT40" s="45" t="s">
        <v>5</v>
      </c>
      <c r="CU40" s="45" t="s">
        <v>5</v>
      </c>
      <c r="CV40" s="45" t="s">
        <v>5</v>
      </c>
      <c r="CW40" s="45" t="s">
        <v>5</v>
      </c>
      <c r="CX40" s="45" t="s">
        <v>5</v>
      </c>
      <c r="CY40" s="45" t="s">
        <v>5</v>
      </c>
      <c r="CZ40" s="45" t="s">
        <v>5</v>
      </c>
      <c r="DA40" s="45" t="s">
        <v>5</v>
      </c>
      <c r="DB40" s="45" t="s">
        <v>5</v>
      </c>
      <c r="DC40" s="45" t="s">
        <v>5</v>
      </c>
      <c r="DD40" s="45" t="s">
        <v>5</v>
      </c>
      <c r="DE40" s="45" t="s">
        <v>5</v>
      </c>
      <c r="DF40" s="45" t="s">
        <v>5</v>
      </c>
      <c r="DG40" s="45" t="s">
        <v>5</v>
      </c>
      <c r="DH40" s="45" t="s">
        <v>5</v>
      </c>
    </row>
    <row r="41" spans="1:60" ht="12.75" customHeight="1">
      <c r="A41" s="44" t="s">
        <v>217</v>
      </c>
      <c r="B41" s="44" t="s">
        <v>2</v>
      </c>
      <c r="AW41" s="45">
        <v>1100</v>
      </c>
      <c r="BH41" s="45">
        <v>830</v>
      </c>
    </row>
    <row r="42" spans="1:60" ht="12.75" customHeight="1">
      <c r="A42" s="44" t="s">
        <v>218</v>
      </c>
      <c r="B42" s="44" t="s">
        <v>2</v>
      </c>
      <c r="AW42" s="45">
        <v>180</v>
      </c>
      <c r="BH42" s="45">
        <v>260</v>
      </c>
    </row>
    <row r="43" spans="1:113" s="34" customFormat="1" ht="15">
      <c r="A43" s="40" t="s">
        <v>115</v>
      </c>
      <c r="B43" s="40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35"/>
    </row>
    <row r="44" spans="1:112" ht="12.75" customHeight="1">
      <c r="A44" s="44" t="s">
        <v>219</v>
      </c>
      <c r="B44" s="44" t="s">
        <v>2</v>
      </c>
      <c r="C44" s="45">
        <v>6.4</v>
      </c>
      <c r="D44" s="45">
        <v>21.8</v>
      </c>
      <c r="E44" s="45">
        <v>6.8</v>
      </c>
      <c r="F44" s="45">
        <v>55.2</v>
      </c>
      <c r="G44" s="45" t="s">
        <v>3</v>
      </c>
      <c r="H44" s="45" t="s">
        <v>3</v>
      </c>
      <c r="I44" s="45">
        <v>1.1</v>
      </c>
      <c r="J44" s="45" t="s">
        <v>3</v>
      </c>
      <c r="K44" s="45" t="s">
        <v>3</v>
      </c>
      <c r="M44" s="45">
        <v>1.1</v>
      </c>
      <c r="N44" s="45">
        <v>6.8</v>
      </c>
      <c r="O44" s="45">
        <v>1.2</v>
      </c>
      <c r="Q44" s="45" t="s">
        <v>175</v>
      </c>
      <c r="R44" s="45" t="s">
        <v>175</v>
      </c>
      <c r="S44" s="45" t="s">
        <v>175</v>
      </c>
      <c r="T44" s="45">
        <v>0.2</v>
      </c>
      <c r="U44" s="45" t="s">
        <v>6</v>
      </c>
      <c r="V44" s="45">
        <v>1.1</v>
      </c>
      <c r="W44" s="45">
        <v>0.097</v>
      </c>
      <c r="X44" s="45">
        <v>0.1</v>
      </c>
      <c r="Y44" s="45" t="s">
        <v>42</v>
      </c>
      <c r="AF44" s="45">
        <v>7.2</v>
      </c>
      <c r="AG44" s="45">
        <v>0.5</v>
      </c>
      <c r="AH44" s="45" t="s">
        <v>5</v>
      </c>
      <c r="AI44" s="45">
        <v>2.1</v>
      </c>
      <c r="AR44" s="45">
        <f>0.4*100</f>
        <v>40</v>
      </c>
      <c r="AS44" s="45">
        <f>0.034/10*1000</f>
        <v>3.4000000000000004</v>
      </c>
      <c r="AT44" s="45">
        <f>2100/10</f>
        <v>210</v>
      </c>
      <c r="AU44" s="45">
        <f>800/10</f>
        <v>80</v>
      </c>
      <c r="AV44" s="45" t="s">
        <v>7</v>
      </c>
      <c r="AW44" s="45">
        <f>520/10</f>
        <v>52</v>
      </c>
      <c r="AX44" s="45">
        <f>1.1/10</f>
        <v>0.11000000000000001</v>
      </c>
      <c r="AY44" s="45" t="s">
        <v>7</v>
      </c>
      <c r="AZ44" s="45">
        <f>3.5/10</f>
        <v>0.35</v>
      </c>
      <c r="BA44" s="45">
        <f>800/10</f>
        <v>80</v>
      </c>
      <c r="BB44" s="45">
        <f>13/10</f>
        <v>1.3</v>
      </c>
      <c r="BC44" s="45">
        <f>0.084/10*1000</f>
        <v>8.4</v>
      </c>
      <c r="BD44" s="45" t="s">
        <v>7</v>
      </c>
      <c r="BE44" s="45" t="s">
        <v>126</v>
      </c>
      <c r="BF44" s="45">
        <f>16/10</f>
        <v>1.6</v>
      </c>
      <c r="BG44" s="45">
        <f>0.06/10*1000</f>
        <v>6</v>
      </c>
      <c r="BH44" s="45">
        <f>2300/10</f>
        <v>230</v>
      </c>
      <c r="BI44" s="45">
        <f>0.3/10*1000</f>
        <v>30</v>
      </c>
      <c r="BK44" s="48">
        <v>0.4796</v>
      </c>
      <c r="BL44" s="48">
        <v>3.597</v>
      </c>
      <c r="BM44" s="48">
        <f>BN44+BO44</f>
        <v>0.0872</v>
      </c>
      <c r="BN44" s="48">
        <v>0.0654</v>
      </c>
      <c r="BO44" s="48">
        <v>0.0218</v>
      </c>
      <c r="BP44" s="48">
        <v>3.1392</v>
      </c>
      <c r="BQ44" s="48">
        <v>15.8268</v>
      </c>
      <c r="BR44" s="48">
        <v>1.9402</v>
      </c>
      <c r="BS44" s="45" t="s">
        <v>5</v>
      </c>
      <c r="BT44" s="45" t="s">
        <v>5</v>
      </c>
      <c r="BU44" s="45" t="s">
        <v>5</v>
      </c>
      <c r="BV44" s="45" t="s">
        <v>5</v>
      </c>
      <c r="BW44" s="45" t="s">
        <v>5</v>
      </c>
      <c r="BX44" s="45" t="s">
        <v>5</v>
      </c>
      <c r="BY44" s="45" t="s">
        <v>5</v>
      </c>
      <c r="BZ44" s="45">
        <v>4.8</v>
      </c>
      <c r="CA44" s="45" t="s">
        <v>5</v>
      </c>
      <c r="CB44" s="45">
        <v>2.5</v>
      </c>
      <c r="CC44" s="45">
        <v>0.4</v>
      </c>
      <c r="CD44" s="45">
        <v>0.7</v>
      </c>
      <c r="CE44" s="45">
        <v>0.3</v>
      </c>
      <c r="CF44" s="45" t="s">
        <v>5</v>
      </c>
      <c r="CG44" s="45">
        <v>0.1</v>
      </c>
      <c r="CH44" s="45" t="s">
        <v>5</v>
      </c>
      <c r="CI44" s="45">
        <v>71.9</v>
      </c>
      <c r="CJ44" s="45">
        <v>0.5</v>
      </c>
      <c r="CK44" s="45" t="s">
        <v>5</v>
      </c>
      <c r="CL44" s="45" t="s">
        <v>5</v>
      </c>
      <c r="CM44" s="45">
        <v>14.3</v>
      </c>
      <c r="CN44" s="45" t="s">
        <v>5</v>
      </c>
      <c r="CO44" s="45">
        <v>2.2</v>
      </c>
      <c r="CP44" s="45" t="s">
        <v>5</v>
      </c>
      <c r="CQ44" s="45" t="s">
        <v>5</v>
      </c>
      <c r="CR44" s="45" t="s">
        <v>5</v>
      </c>
      <c r="CS44" s="45" t="s">
        <v>5</v>
      </c>
      <c r="CT44" s="45" t="s">
        <v>5</v>
      </c>
      <c r="CU44" s="45" t="s">
        <v>5</v>
      </c>
      <c r="CV44" s="45" t="s">
        <v>5</v>
      </c>
      <c r="CW44" s="45" t="s">
        <v>5</v>
      </c>
      <c r="CX44" s="45" t="s">
        <v>5</v>
      </c>
      <c r="CY44" s="45" t="s">
        <v>5</v>
      </c>
      <c r="CZ44" s="45" t="s">
        <v>5</v>
      </c>
      <c r="DA44" s="45" t="s">
        <v>5</v>
      </c>
      <c r="DB44" s="45" t="s">
        <v>5</v>
      </c>
      <c r="DC44" s="45" t="s">
        <v>5</v>
      </c>
      <c r="DD44" s="45" t="s">
        <v>5</v>
      </c>
      <c r="DE44" s="45" t="s">
        <v>5</v>
      </c>
      <c r="DF44" s="45" t="s">
        <v>5</v>
      </c>
      <c r="DG44" s="45" t="s">
        <v>5</v>
      </c>
      <c r="DH44" s="45" t="s">
        <v>5</v>
      </c>
    </row>
    <row r="45" spans="1:61" ht="12.75" customHeight="1">
      <c r="A45" s="44" t="s">
        <v>220</v>
      </c>
      <c r="B45" s="44" t="s">
        <v>2</v>
      </c>
      <c r="C45" s="45">
        <v>62.7</v>
      </c>
      <c r="D45" s="45">
        <v>0.3</v>
      </c>
      <c r="E45" s="45">
        <v>3.2</v>
      </c>
      <c r="F45" s="45">
        <v>32.17</v>
      </c>
      <c r="G45" s="45" t="s">
        <v>3</v>
      </c>
      <c r="H45" s="45" t="s">
        <v>3</v>
      </c>
      <c r="I45" s="45" t="s">
        <v>3</v>
      </c>
      <c r="J45" s="45" t="s">
        <v>3</v>
      </c>
      <c r="K45" s="45" t="s">
        <v>3</v>
      </c>
      <c r="M45" s="45" t="s">
        <v>7</v>
      </c>
      <c r="N45" s="45">
        <v>0.5</v>
      </c>
      <c r="O45" s="45" t="s">
        <v>5</v>
      </c>
      <c r="T45" s="45">
        <v>0.03</v>
      </c>
      <c r="U45" s="45" t="s">
        <v>6</v>
      </c>
      <c r="V45" s="45" t="s">
        <v>8</v>
      </c>
      <c r="W45" s="45">
        <v>0.069</v>
      </c>
      <c r="X45" s="45" t="s">
        <v>6</v>
      </c>
      <c r="Y45" s="45" t="s">
        <v>42</v>
      </c>
      <c r="AA45" s="45" t="s">
        <v>8</v>
      </c>
      <c r="AF45" s="45" t="s">
        <v>5</v>
      </c>
      <c r="AG45" s="45" t="s">
        <v>5</v>
      </c>
      <c r="AH45" s="45" t="s">
        <v>5</v>
      </c>
      <c r="AI45" s="45" t="s">
        <v>5</v>
      </c>
      <c r="AR45" s="45">
        <f>0.304*100</f>
        <v>30.4</v>
      </c>
      <c r="AS45" s="45">
        <f>0.027/10*1000</f>
        <v>2.7</v>
      </c>
      <c r="AT45" s="45">
        <f>250/10</f>
        <v>25</v>
      </c>
      <c r="AU45" s="45" t="s">
        <v>7</v>
      </c>
      <c r="AV45" s="45">
        <f>0.054/10*1000</f>
        <v>5.4</v>
      </c>
      <c r="AW45" s="45">
        <f>18/10</f>
        <v>1.8</v>
      </c>
      <c r="AX45" s="45">
        <f>0.74/10</f>
        <v>0.074</v>
      </c>
      <c r="AY45" s="45" t="s">
        <v>7</v>
      </c>
      <c r="AZ45" s="45">
        <f>3.6/10</f>
        <v>0.36</v>
      </c>
      <c r="BA45" s="45">
        <f>40/10</f>
        <v>4</v>
      </c>
      <c r="BB45" s="45" t="s">
        <v>3</v>
      </c>
      <c r="BC45" s="45" t="s">
        <v>7</v>
      </c>
      <c r="BD45" s="45" t="s">
        <v>7</v>
      </c>
      <c r="BE45" s="45" t="s">
        <v>126</v>
      </c>
      <c r="BF45" s="45">
        <f>5.7/10</f>
        <v>0.5700000000000001</v>
      </c>
      <c r="BG45" s="45">
        <f>0.018/10*1000</f>
        <v>1.8</v>
      </c>
      <c r="BH45" s="45">
        <f>280/10</f>
        <v>28</v>
      </c>
      <c r="BI45" s="45">
        <f>0.22/10*1000</f>
        <v>22</v>
      </c>
    </row>
    <row r="46" spans="1:112" ht="12.75" customHeight="1">
      <c r="A46" s="44" t="s">
        <v>221</v>
      </c>
      <c r="B46" s="44" t="s">
        <v>2</v>
      </c>
      <c r="C46" s="45">
        <v>60.5</v>
      </c>
      <c r="D46" s="45">
        <v>0.6</v>
      </c>
      <c r="E46" s="45">
        <v>3.4</v>
      </c>
      <c r="F46" s="45">
        <v>32.5</v>
      </c>
      <c r="G46" s="45" t="s">
        <v>3</v>
      </c>
      <c r="H46" s="45" t="s">
        <v>3</v>
      </c>
      <c r="I46" s="45" t="s">
        <v>3</v>
      </c>
      <c r="J46" s="45" t="s">
        <v>3</v>
      </c>
      <c r="K46" s="45" t="s">
        <v>3</v>
      </c>
      <c r="M46" s="45" t="s">
        <v>7</v>
      </c>
      <c r="N46" s="45">
        <v>1.4</v>
      </c>
      <c r="O46" s="45">
        <v>0.2</v>
      </c>
      <c r="T46" s="45">
        <v>0.04</v>
      </c>
      <c r="U46" s="45" t="s">
        <v>6</v>
      </c>
      <c r="V46" s="45" t="s">
        <v>8</v>
      </c>
      <c r="W46" s="45">
        <v>0.038</v>
      </c>
      <c r="X46" s="45" t="s">
        <v>6</v>
      </c>
      <c r="Y46" s="45" t="s">
        <v>42</v>
      </c>
      <c r="AA46" s="45" t="s">
        <v>7</v>
      </c>
      <c r="AF46" s="45">
        <v>0.2</v>
      </c>
      <c r="AG46" s="45" t="s">
        <v>5</v>
      </c>
      <c r="AH46" s="45" t="s">
        <v>5</v>
      </c>
      <c r="AI46" s="45">
        <v>0.3</v>
      </c>
      <c r="AR46" s="45">
        <f>0.36*100</f>
        <v>36</v>
      </c>
      <c r="AS46" s="45">
        <f>0.025/10*1000</f>
        <v>2.5</v>
      </c>
      <c r="AT46" s="45">
        <f>190/10</f>
        <v>19</v>
      </c>
      <c r="AU46" s="45">
        <f>210/10</f>
        <v>21</v>
      </c>
      <c r="AV46" s="45">
        <f>0.053/10*1000</f>
        <v>5.3</v>
      </c>
      <c r="AW46" s="45">
        <f>18/10</f>
        <v>1.8</v>
      </c>
      <c r="AX46" s="45">
        <f>0.73/10</f>
        <v>0.073</v>
      </c>
      <c r="AY46" s="45" t="s">
        <v>7</v>
      </c>
      <c r="AZ46" s="45">
        <f>3.1/10</f>
        <v>0.31</v>
      </c>
      <c r="BA46" s="45">
        <f>39/10</f>
        <v>3.9</v>
      </c>
      <c r="BB46" s="45" t="s">
        <v>3</v>
      </c>
      <c r="BC46" s="45" t="s">
        <v>7</v>
      </c>
      <c r="BD46" s="45" t="s">
        <v>7</v>
      </c>
      <c r="BE46" s="45" t="s">
        <v>126</v>
      </c>
      <c r="BF46" s="45">
        <f>5.2/10</f>
        <v>0.52</v>
      </c>
      <c r="BG46" s="45">
        <f>0.023/10*1000</f>
        <v>2.3</v>
      </c>
      <c r="BH46" s="45">
        <f>270/10</f>
        <v>27</v>
      </c>
      <c r="BI46" s="45">
        <f>0.26/10*1000</f>
        <v>26.000000000000004</v>
      </c>
      <c r="BK46" s="48">
        <v>0.0066</v>
      </c>
      <c r="BL46" s="48">
        <v>0.1608</v>
      </c>
      <c r="BM46" s="48">
        <f>BN46+BO46</f>
        <v>0.0126</v>
      </c>
      <c r="BN46" s="48">
        <v>0.0066</v>
      </c>
      <c r="BO46" s="48">
        <v>0.006</v>
      </c>
      <c r="BP46" s="48">
        <v>0.1542</v>
      </c>
      <c r="BQ46" s="48">
        <v>0.2394</v>
      </c>
      <c r="BR46" s="48">
        <v>0.1872</v>
      </c>
      <c r="BS46" s="45" t="s">
        <v>5</v>
      </c>
      <c r="BT46" s="45" t="s">
        <v>5</v>
      </c>
      <c r="BU46" s="45" t="s">
        <v>5</v>
      </c>
      <c r="BV46" s="45" t="s">
        <v>5</v>
      </c>
      <c r="BW46" s="45" t="s">
        <v>5</v>
      </c>
      <c r="BX46" s="45">
        <v>0.6</v>
      </c>
      <c r="BY46" s="45" t="s">
        <v>5</v>
      </c>
      <c r="BZ46" s="45">
        <v>20.9</v>
      </c>
      <c r="CA46" s="45" t="s">
        <v>5</v>
      </c>
      <c r="CB46" s="45">
        <v>8.4</v>
      </c>
      <c r="CC46" s="45">
        <v>0.4</v>
      </c>
      <c r="CD46" s="45">
        <v>0.5</v>
      </c>
      <c r="CE46" s="45">
        <v>0.3</v>
      </c>
      <c r="CF46" s="45" t="s">
        <v>5</v>
      </c>
      <c r="CG46" s="45">
        <v>0.1</v>
      </c>
      <c r="CH46" s="45" t="s">
        <v>5</v>
      </c>
      <c r="CI46" s="45">
        <v>39.5</v>
      </c>
      <c r="CJ46" s="45">
        <v>0.2</v>
      </c>
      <c r="CK46" s="45" t="s">
        <v>5</v>
      </c>
      <c r="CL46" s="45" t="s">
        <v>5</v>
      </c>
      <c r="CM46" s="45">
        <v>25.7</v>
      </c>
      <c r="CN46" s="45" t="s">
        <v>5</v>
      </c>
      <c r="CO46" s="45">
        <v>1.1</v>
      </c>
      <c r="CP46" s="45" t="s">
        <v>5</v>
      </c>
      <c r="CQ46" s="45" t="s">
        <v>5</v>
      </c>
      <c r="CR46" s="45" t="s">
        <v>5</v>
      </c>
      <c r="CS46" s="45" t="s">
        <v>5</v>
      </c>
      <c r="CT46" s="45" t="s">
        <v>5</v>
      </c>
      <c r="CU46" s="45" t="s">
        <v>5</v>
      </c>
      <c r="CV46" s="45" t="s">
        <v>5</v>
      </c>
      <c r="CW46" s="45" t="s">
        <v>5</v>
      </c>
      <c r="CX46" s="45" t="s">
        <v>5</v>
      </c>
      <c r="CY46" s="45" t="s">
        <v>5</v>
      </c>
      <c r="CZ46" s="45" t="s">
        <v>5</v>
      </c>
      <c r="DA46" s="45" t="s">
        <v>5</v>
      </c>
      <c r="DB46" s="45">
        <v>0.3</v>
      </c>
      <c r="DC46" s="45">
        <v>0.3</v>
      </c>
      <c r="DD46" s="45" t="s">
        <v>5</v>
      </c>
      <c r="DE46" s="45" t="s">
        <v>5</v>
      </c>
      <c r="DF46" s="45">
        <v>0.2</v>
      </c>
      <c r="DG46" s="45" t="s">
        <v>5</v>
      </c>
      <c r="DH46" s="45">
        <v>0.2</v>
      </c>
    </row>
    <row r="47" spans="1:113" s="34" customFormat="1" ht="15">
      <c r="A47" s="40" t="s">
        <v>222</v>
      </c>
      <c r="B47" s="40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35"/>
    </row>
    <row r="48" spans="1:112" ht="12.75" customHeight="1">
      <c r="A48" s="44" t="s">
        <v>223</v>
      </c>
      <c r="B48" s="44" t="s">
        <v>2</v>
      </c>
      <c r="C48" s="45">
        <v>5</v>
      </c>
      <c r="D48" s="45">
        <v>50.5</v>
      </c>
      <c r="E48" s="45">
        <v>19.7</v>
      </c>
      <c r="F48" s="45">
        <v>0.2</v>
      </c>
      <c r="G48" s="45">
        <v>0.3</v>
      </c>
      <c r="H48" s="45">
        <v>0.3</v>
      </c>
      <c r="I48" s="45">
        <v>4.6</v>
      </c>
      <c r="J48" s="45" t="s">
        <v>3</v>
      </c>
      <c r="K48" s="45" t="s">
        <v>3</v>
      </c>
      <c r="M48" s="45">
        <v>5.2</v>
      </c>
      <c r="N48" s="45">
        <v>10.9</v>
      </c>
      <c r="O48" s="45">
        <v>3.3</v>
      </c>
      <c r="Q48" s="45" t="s">
        <v>175</v>
      </c>
      <c r="R48" s="45" t="s">
        <v>175</v>
      </c>
      <c r="S48" s="45" t="s">
        <v>175</v>
      </c>
      <c r="T48" s="45">
        <v>0.19</v>
      </c>
      <c r="U48" s="45">
        <v>0.07</v>
      </c>
      <c r="V48" s="45">
        <v>4.3</v>
      </c>
      <c r="W48" s="45">
        <v>0.25</v>
      </c>
      <c r="X48" s="45">
        <v>0.09</v>
      </c>
      <c r="Y48" s="45">
        <v>32.7</v>
      </c>
      <c r="AF48" s="45">
        <v>31</v>
      </c>
      <c r="AG48" s="45">
        <v>0.6</v>
      </c>
      <c r="AH48" s="45" t="s">
        <v>5</v>
      </c>
      <c r="AI48" s="45">
        <v>1.2</v>
      </c>
      <c r="AK48" s="45" t="s">
        <v>6</v>
      </c>
      <c r="AL48" s="45" t="s">
        <v>6</v>
      </c>
      <c r="AM48" s="45" t="s">
        <v>6</v>
      </c>
      <c r="AN48" s="45" t="s">
        <v>6</v>
      </c>
      <c r="AO48" s="45">
        <f>320/1000</f>
        <v>0.32</v>
      </c>
      <c r="AP48" s="45">
        <f>470/1000</f>
        <v>0.47</v>
      </c>
      <c r="AQ48" s="45" t="s">
        <v>6</v>
      </c>
      <c r="AR48" s="45">
        <f>2.33*100</f>
        <v>233</v>
      </c>
      <c r="BK48" s="48">
        <v>0</v>
      </c>
      <c r="BL48" s="48">
        <v>13.4835</v>
      </c>
      <c r="BM48" s="48">
        <v>0</v>
      </c>
      <c r="BN48" s="48">
        <v>0</v>
      </c>
      <c r="BO48" s="48">
        <v>0</v>
      </c>
      <c r="BP48" s="48">
        <v>13.433</v>
      </c>
      <c r="BQ48" s="48">
        <v>32.118</v>
      </c>
      <c r="BR48" s="48">
        <v>4.141</v>
      </c>
      <c r="BS48" s="45" t="s">
        <v>5</v>
      </c>
      <c r="BT48" s="45" t="s">
        <v>5</v>
      </c>
      <c r="BU48" s="45" t="s">
        <v>5</v>
      </c>
      <c r="BV48" s="45" t="s">
        <v>5</v>
      </c>
      <c r="BW48" s="45" t="s">
        <v>5</v>
      </c>
      <c r="BX48" s="45" t="s">
        <v>5</v>
      </c>
      <c r="BY48" s="45" t="s">
        <v>5</v>
      </c>
      <c r="BZ48" s="45">
        <v>6.5</v>
      </c>
      <c r="CA48" s="45" t="s">
        <v>5</v>
      </c>
      <c r="CB48" s="45">
        <v>1.4</v>
      </c>
      <c r="CC48" s="45" t="s">
        <v>5</v>
      </c>
      <c r="CD48" s="45" t="s">
        <v>5</v>
      </c>
      <c r="CE48" s="45" t="s">
        <v>5</v>
      </c>
      <c r="CF48" s="45" t="s">
        <v>5</v>
      </c>
      <c r="CG48" s="45">
        <v>0.4</v>
      </c>
      <c r="CH48" s="45" t="s">
        <v>5</v>
      </c>
      <c r="CI48" s="45">
        <v>63.1</v>
      </c>
      <c r="CJ48" s="45" t="s">
        <v>5</v>
      </c>
      <c r="CK48" s="45" t="s">
        <v>5</v>
      </c>
      <c r="CL48" s="45" t="s">
        <v>5</v>
      </c>
      <c r="CM48" s="45">
        <v>26.6</v>
      </c>
      <c r="CN48" s="45" t="s">
        <v>5</v>
      </c>
      <c r="CO48" s="45" t="s">
        <v>5</v>
      </c>
      <c r="CP48" s="45" t="s">
        <v>5</v>
      </c>
      <c r="CQ48" s="45" t="s">
        <v>5</v>
      </c>
      <c r="CR48" s="45" t="s">
        <v>5</v>
      </c>
      <c r="CS48" s="45" t="s">
        <v>5</v>
      </c>
      <c r="CT48" s="45" t="s">
        <v>5</v>
      </c>
      <c r="CU48" s="45" t="s">
        <v>5</v>
      </c>
      <c r="CV48" s="45" t="s">
        <v>5</v>
      </c>
      <c r="CW48" s="45" t="s">
        <v>5</v>
      </c>
      <c r="CX48" s="45" t="s">
        <v>5</v>
      </c>
      <c r="CY48" s="45" t="s">
        <v>5</v>
      </c>
      <c r="CZ48" s="45" t="s">
        <v>5</v>
      </c>
      <c r="DA48" s="45" t="s">
        <v>5</v>
      </c>
      <c r="DB48" s="45" t="s">
        <v>5</v>
      </c>
      <c r="DC48" s="45" t="s">
        <v>5</v>
      </c>
      <c r="DD48" s="45" t="s">
        <v>5</v>
      </c>
      <c r="DE48" s="45" t="s">
        <v>5</v>
      </c>
      <c r="DF48" s="45" t="s">
        <v>5</v>
      </c>
      <c r="DG48" s="45" t="s">
        <v>5</v>
      </c>
      <c r="DH48" s="45" t="s">
        <v>5</v>
      </c>
    </row>
    <row r="49" spans="1:61" ht="12.75" customHeight="1">
      <c r="A49" s="44" t="s">
        <v>223</v>
      </c>
      <c r="B49" s="44" t="s">
        <v>204</v>
      </c>
      <c r="AT49" s="45">
        <f>7400/10</f>
        <v>740</v>
      </c>
      <c r="AU49" s="45" t="s">
        <v>7</v>
      </c>
      <c r="AV49" s="45" t="s">
        <v>7</v>
      </c>
      <c r="AW49" s="45">
        <f>2500/10</f>
        <v>250</v>
      </c>
      <c r="AX49" s="45">
        <f>5.6/10</f>
        <v>0.5599999999999999</v>
      </c>
      <c r="AY49" s="45" t="s">
        <v>7</v>
      </c>
      <c r="AZ49" s="45">
        <f>32/10</f>
        <v>3.2</v>
      </c>
      <c r="BA49" s="45">
        <f>2600/10</f>
        <v>260</v>
      </c>
      <c r="BB49" s="45">
        <f>41/10</f>
        <v>4.1</v>
      </c>
      <c r="BC49" s="45">
        <f>0.059/10*1000</f>
        <v>5.8999999999999995</v>
      </c>
      <c r="BD49" s="45" t="s">
        <v>7</v>
      </c>
      <c r="BE49" s="45">
        <f>2.4/10*1000</f>
        <v>240</v>
      </c>
      <c r="BF49" s="45">
        <f>40/10</f>
        <v>4</v>
      </c>
      <c r="BG49" s="45">
        <f>0.015/10*1000</f>
        <v>1.5</v>
      </c>
      <c r="BH49" s="45">
        <f>5000/10</f>
        <v>500</v>
      </c>
      <c r="BI49" s="45">
        <f>0.37/10*1000</f>
        <v>37</v>
      </c>
    </row>
    <row r="50" spans="1:61" ht="12.75" customHeight="1">
      <c r="A50" s="44" t="s">
        <v>223</v>
      </c>
      <c r="B50" s="44" t="s">
        <v>205</v>
      </c>
      <c r="AT50" s="45">
        <f>8000/10</f>
        <v>800</v>
      </c>
      <c r="AU50" s="45" t="s">
        <v>7</v>
      </c>
      <c r="AV50" s="45" t="s">
        <v>7</v>
      </c>
      <c r="AW50" s="45">
        <f>2600/10</f>
        <v>260</v>
      </c>
      <c r="AX50" s="45">
        <f>7.9/10</f>
        <v>0.79</v>
      </c>
      <c r="AY50" s="45" t="s">
        <v>7</v>
      </c>
      <c r="AZ50" s="45">
        <f>26/10</f>
        <v>2.6</v>
      </c>
      <c r="BA50" s="45">
        <f>2500/10</f>
        <v>250</v>
      </c>
      <c r="BB50" s="45">
        <f>38/10</f>
        <v>3.8</v>
      </c>
      <c r="BC50" s="45">
        <f>0.037/10*1000</f>
        <v>3.6999999999999997</v>
      </c>
      <c r="BD50" s="45" t="s">
        <v>7</v>
      </c>
      <c r="BE50" s="45">
        <f>7.2/10*1000</f>
        <v>720</v>
      </c>
      <c r="BF50" s="45">
        <f>38/10</f>
        <v>3.8</v>
      </c>
      <c r="BG50" s="45">
        <f>0.016/10*1000</f>
        <v>1.6</v>
      </c>
      <c r="BH50" s="45">
        <f>5100/10</f>
        <v>510</v>
      </c>
      <c r="BI50" s="45">
        <f>0.19/10*1000</f>
        <v>19</v>
      </c>
    </row>
    <row r="51" spans="1:61" ht="12.75" customHeight="1">
      <c r="A51" s="44" t="s">
        <v>223</v>
      </c>
      <c r="B51" s="44" t="s">
        <v>130</v>
      </c>
      <c r="AT51" s="45">
        <f>7900/10</f>
        <v>790</v>
      </c>
      <c r="AU51" s="45" t="s">
        <v>7</v>
      </c>
      <c r="AV51" s="45" t="s">
        <v>7</v>
      </c>
      <c r="AW51" s="45">
        <f>3000/10</f>
        <v>300</v>
      </c>
      <c r="AX51" s="45">
        <f>9.2/10</f>
        <v>0.9199999999999999</v>
      </c>
      <c r="AY51" s="45" t="s">
        <v>7</v>
      </c>
      <c r="AZ51" s="45">
        <f>30/10</f>
        <v>3</v>
      </c>
      <c r="BA51" s="45">
        <f>2600/10</f>
        <v>260</v>
      </c>
      <c r="BB51" s="45">
        <f>38/10</f>
        <v>3.8</v>
      </c>
      <c r="BC51" s="45">
        <f>0.55/10*1000</f>
        <v>55.00000000000001</v>
      </c>
      <c r="BD51" s="45" t="s">
        <v>7</v>
      </c>
      <c r="BE51" s="45">
        <f>7.1/10*1000</f>
        <v>710</v>
      </c>
      <c r="BF51" s="45">
        <f>37/10</f>
        <v>3.7</v>
      </c>
      <c r="BG51" s="45" t="s">
        <v>7</v>
      </c>
      <c r="BH51" s="45">
        <f>4900/10</f>
        <v>490</v>
      </c>
      <c r="BI51" s="45">
        <f>0.74/10*1000</f>
        <v>74</v>
      </c>
    </row>
    <row r="52" spans="1:61" ht="12.75" customHeight="1">
      <c r="A52" s="44" t="s">
        <v>223</v>
      </c>
      <c r="B52" s="44" t="s">
        <v>206</v>
      </c>
      <c r="AT52" s="45">
        <f>8300/10</f>
        <v>830</v>
      </c>
      <c r="AU52" s="45" t="s">
        <v>7</v>
      </c>
      <c r="AV52" s="45" t="s">
        <v>7</v>
      </c>
      <c r="AW52" s="45">
        <f>2400/10</f>
        <v>240</v>
      </c>
      <c r="AX52" s="45">
        <f>8/10</f>
        <v>0.8</v>
      </c>
      <c r="AY52" s="45" t="s">
        <v>7</v>
      </c>
      <c r="AZ52" s="45">
        <f>32/10</f>
        <v>3.2</v>
      </c>
      <c r="BA52" s="45">
        <f>2600/10</f>
        <v>260</v>
      </c>
      <c r="BB52" s="45">
        <f>34/10</f>
        <v>3.4</v>
      </c>
      <c r="BC52" s="45">
        <f>0.031/10*1000</f>
        <v>3.1</v>
      </c>
      <c r="BD52" s="45" t="s">
        <v>7</v>
      </c>
      <c r="BE52" s="45">
        <f>3.4/10*1000</f>
        <v>339.99999999999994</v>
      </c>
      <c r="BF52" s="45">
        <f>32/10</f>
        <v>3.2</v>
      </c>
      <c r="BG52" s="45">
        <f>0.017/10*1000</f>
        <v>1.7000000000000002</v>
      </c>
      <c r="BH52" s="45">
        <f>5500/10</f>
        <v>550</v>
      </c>
      <c r="BI52" s="45">
        <f>0.19/10*1000</f>
        <v>19</v>
      </c>
    </row>
    <row r="53" spans="1:61" ht="12.75" customHeight="1">
      <c r="A53" s="44" t="s">
        <v>223</v>
      </c>
      <c r="B53" s="44" t="s">
        <v>132</v>
      </c>
      <c r="AT53" s="45">
        <f>8300/10</f>
        <v>830</v>
      </c>
      <c r="AU53" s="45" t="s">
        <v>7</v>
      </c>
      <c r="AV53" s="45" t="s">
        <v>7</v>
      </c>
      <c r="AW53" s="45">
        <f>2800/10</f>
        <v>280</v>
      </c>
      <c r="AX53" s="45">
        <f>10/10</f>
        <v>1</v>
      </c>
      <c r="AY53" s="45" t="s">
        <v>7</v>
      </c>
      <c r="AZ53" s="45">
        <f>23/10</f>
        <v>2.3</v>
      </c>
      <c r="BA53" s="45">
        <f>2800/10</f>
        <v>280</v>
      </c>
      <c r="BB53" s="45">
        <f>34/10</f>
        <v>3.4</v>
      </c>
      <c r="BC53" s="45">
        <f>0.12/10*1000</f>
        <v>12</v>
      </c>
      <c r="BD53" s="45" t="s">
        <v>7</v>
      </c>
      <c r="BE53" s="45">
        <f>1/10*1000</f>
        <v>100</v>
      </c>
      <c r="BF53" s="45">
        <f>31/10</f>
        <v>3.1</v>
      </c>
      <c r="BG53" s="45" t="s">
        <v>7</v>
      </c>
      <c r="BH53" s="45">
        <f>5800/10</f>
        <v>580</v>
      </c>
      <c r="BI53" s="45">
        <f>0.28/10*1000</f>
        <v>28.000000000000004</v>
      </c>
    </row>
    <row r="54" spans="1:61" ht="12.75" customHeight="1">
      <c r="A54" s="44" t="s">
        <v>223</v>
      </c>
      <c r="B54" s="44" t="s">
        <v>133</v>
      </c>
      <c r="AT54" s="45">
        <f>8400/10</f>
        <v>840</v>
      </c>
      <c r="AU54" s="45" t="s">
        <v>7</v>
      </c>
      <c r="AV54" s="45" t="s">
        <v>7</v>
      </c>
      <c r="AW54" s="45">
        <f>2800/10</f>
        <v>280</v>
      </c>
      <c r="AX54" s="45">
        <f>8.3/10</f>
        <v>0.8300000000000001</v>
      </c>
      <c r="AY54" s="45" t="s">
        <v>7</v>
      </c>
      <c r="AZ54" s="45">
        <f>30/10</f>
        <v>3</v>
      </c>
      <c r="BA54" s="45">
        <f>2800/10</f>
        <v>280</v>
      </c>
      <c r="BB54" s="45">
        <f>40/10</f>
        <v>4</v>
      </c>
      <c r="BC54" s="45">
        <f>0.6/10*1000</f>
        <v>60</v>
      </c>
      <c r="BD54" s="45" t="s">
        <v>7</v>
      </c>
      <c r="BE54" s="45">
        <f>8.3/10*1000</f>
        <v>830.0000000000001</v>
      </c>
      <c r="BF54" s="45">
        <f>39/10</f>
        <v>3.9</v>
      </c>
      <c r="BG54" s="45" t="s">
        <v>7</v>
      </c>
      <c r="BH54" s="45">
        <f>5300/10</f>
        <v>530</v>
      </c>
      <c r="BI54" s="45">
        <f>0.51/10*1000</f>
        <v>51.00000000000001</v>
      </c>
    </row>
    <row r="55" spans="1:61" ht="12.75" customHeight="1">
      <c r="A55" s="44" t="s">
        <v>223</v>
      </c>
      <c r="B55" s="44" t="s">
        <v>207</v>
      </c>
      <c r="AT55" s="45">
        <f>7900/10</f>
        <v>790</v>
      </c>
      <c r="AU55" s="45" t="s">
        <v>7</v>
      </c>
      <c r="AV55" s="45" t="s">
        <v>7</v>
      </c>
      <c r="AW55" s="45">
        <f>2300/10</f>
        <v>230</v>
      </c>
      <c r="AX55" s="45">
        <f>8.7/10</f>
        <v>0.8699999999999999</v>
      </c>
      <c r="AY55" s="45" t="s">
        <v>7</v>
      </c>
      <c r="AZ55" s="45">
        <f>30/10</f>
        <v>3</v>
      </c>
      <c r="BA55" s="45">
        <f>2800/10</f>
        <v>280</v>
      </c>
      <c r="BB55" s="45">
        <f>39/10</f>
        <v>3.9</v>
      </c>
      <c r="BC55" s="45">
        <f>0.018/10*1000</f>
        <v>1.8</v>
      </c>
      <c r="BD55" s="45" t="s">
        <v>7</v>
      </c>
      <c r="BE55" s="45">
        <f>5.1/10*1000</f>
        <v>510</v>
      </c>
      <c r="BF55" s="45">
        <f>39/10</f>
        <v>3.9</v>
      </c>
      <c r="BG55" s="45">
        <f>0.012/10*1000</f>
        <v>1.2000000000000002</v>
      </c>
      <c r="BH55" s="45">
        <f>5200/10</f>
        <v>520</v>
      </c>
      <c r="BI55" s="45">
        <f>0.18/10*1000</f>
        <v>18</v>
      </c>
    </row>
    <row r="56" spans="1:61" ht="12.75" customHeight="1">
      <c r="A56" s="44" t="s">
        <v>223</v>
      </c>
      <c r="B56" s="44" t="s">
        <v>208</v>
      </c>
      <c r="AT56" s="45">
        <f>7500/10</f>
        <v>750</v>
      </c>
      <c r="AU56" s="45" t="s">
        <v>7</v>
      </c>
      <c r="AV56" s="45" t="s">
        <v>7</v>
      </c>
      <c r="AW56" s="45">
        <f>2800/10</f>
        <v>280</v>
      </c>
      <c r="AX56" s="45">
        <f>8.9/10</f>
        <v>0.89</v>
      </c>
      <c r="AY56" s="45" t="s">
        <v>7</v>
      </c>
      <c r="AZ56" s="45">
        <f>33/10</f>
        <v>3.3</v>
      </c>
      <c r="BA56" s="45">
        <f>2600/10</f>
        <v>260</v>
      </c>
      <c r="BB56" s="45">
        <f>36/10</f>
        <v>3.6</v>
      </c>
      <c r="BC56" s="45">
        <f>0.27/10*1000</f>
        <v>27.000000000000004</v>
      </c>
      <c r="BD56" s="45" t="s">
        <v>7</v>
      </c>
      <c r="BE56" s="45">
        <f>3.9/10*1000</f>
        <v>390</v>
      </c>
      <c r="BF56" s="45">
        <f>35/10</f>
        <v>3.5</v>
      </c>
      <c r="BG56" s="45">
        <f>0.011/10*1000</f>
        <v>1.0999999999999999</v>
      </c>
      <c r="BH56" s="45">
        <f>5200/10</f>
        <v>520</v>
      </c>
      <c r="BI56" s="45">
        <f>0.86/10*1000</f>
        <v>86</v>
      </c>
    </row>
    <row r="57" spans="1:113" s="34" customFormat="1" ht="15">
      <c r="A57" s="40" t="s">
        <v>195</v>
      </c>
      <c r="B57" s="40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35"/>
    </row>
    <row r="58" spans="1:61" ht="12.75" customHeight="1">
      <c r="A58" s="44" t="s">
        <v>224</v>
      </c>
      <c r="B58" s="44" t="s">
        <v>2</v>
      </c>
      <c r="C58" s="45">
        <v>71.8</v>
      </c>
      <c r="D58" s="45" t="s">
        <v>3</v>
      </c>
      <c r="E58" s="45">
        <v>6.5</v>
      </c>
      <c r="F58" s="45">
        <v>0.7</v>
      </c>
      <c r="G58" s="45">
        <v>0.3</v>
      </c>
      <c r="H58" s="45">
        <v>0.9</v>
      </c>
      <c r="I58" s="45">
        <v>1.2</v>
      </c>
      <c r="J58" s="45" t="s">
        <v>3</v>
      </c>
      <c r="K58" s="45" t="s">
        <v>3</v>
      </c>
      <c r="M58" s="45">
        <v>2.4</v>
      </c>
      <c r="O58" s="45">
        <v>16.2</v>
      </c>
      <c r="T58" s="45" t="s">
        <v>6</v>
      </c>
      <c r="U58" s="45">
        <v>0.09</v>
      </c>
      <c r="V58" s="45" t="s">
        <v>8</v>
      </c>
      <c r="W58" s="45">
        <v>0.1</v>
      </c>
      <c r="X58" s="45">
        <v>0.38</v>
      </c>
      <c r="Y58" s="45">
        <v>47.7</v>
      </c>
      <c r="AR58" s="45">
        <f>0.14*100</f>
        <v>14.000000000000002</v>
      </c>
      <c r="AS58" s="45">
        <f>0.73/10*1000</f>
        <v>73</v>
      </c>
      <c r="AT58" s="45">
        <f>3600/10</f>
        <v>360</v>
      </c>
      <c r="AU58" s="45">
        <f>66000/10</f>
        <v>6600</v>
      </c>
      <c r="AV58" s="45" t="s">
        <v>7</v>
      </c>
      <c r="AW58" s="45">
        <f>200/10</f>
        <v>20</v>
      </c>
      <c r="AX58" s="45">
        <f>0.046/10</f>
        <v>0.0046</v>
      </c>
      <c r="AY58" s="45" t="s">
        <v>7</v>
      </c>
      <c r="AZ58" s="45">
        <f>6.8/10</f>
        <v>0.6799999999999999</v>
      </c>
      <c r="BA58" s="45">
        <f>510/10</f>
        <v>51</v>
      </c>
      <c r="BB58" s="45">
        <f>20/10</f>
        <v>2</v>
      </c>
      <c r="BC58" s="45">
        <v>0.082</v>
      </c>
      <c r="BD58" s="45" t="s">
        <v>7</v>
      </c>
      <c r="BE58" s="45">
        <f>14/10*1000</f>
        <v>1400</v>
      </c>
      <c r="BF58" s="45">
        <f>5.3/10</f>
        <v>0.53</v>
      </c>
      <c r="BG58" s="45">
        <f>0.051/10*1000</f>
        <v>5.1</v>
      </c>
      <c r="BH58" s="45">
        <f>1200/10</f>
        <v>120</v>
      </c>
      <c r="BI58" s="45">
        <f>0.31/10*1000</f>
        <v>31</v>
      </c>
    </row>
    <row r="59" spans="1:113" s="34" customFormat="1" ht="15">
      <c r="A59" s="40" t="s">
        <v>225</v>
      </c>
      <c r="B59" s="40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35"/>
    </row>
    <row r="60" spans="1:112" ht="12.75" customHeight="1">
      <c r="A60" s="44" t="s">
        <v>226</v>
      </c>
      <c r="B60" s="44" t="s">
        <v>2</v>
      </c>
      <c r="C60" s="45">
        <v>3.6</v>
      </c>
      <c r="D60" s="45">
        <v>15.6</v>
      </c>
      <c r="E60" s="45">
        <v>23.6</v>
      </c>
      <c r="F60" s="45">
        <v>9</v>
      </c>
      <c r="G60" s="45" t="s">
        <v>3</v>
      </c>
      <c r="H60" s="45">
        <v>0.3</v>
      </c>
      <c r="I60" s="45">
        <v>1</v>
      </c>
      <c r="J60" s="45">
        <v>0.3</v>
      </c>
      <c r="K60" s="45" t="s">
        <v>3</v>
      </c>
      <c r="M60" s="45">
        <v>1.6</v>
      </c>
      <c r="N60" s="45">
        <v>27.5</v>
      </c>
      <c r="O60" s="45">
        <v>11.1</v>
      </c>
      <c r="P60" s="45">
        <v>0</v>
      </c>
      <c r="Q60" s="45" t="s">
        <v>175</v>
      </c>
      <c r="R60" s="45">
        <v>29</v>
      </c>
      <c r="S60" s="45" t="s">
        <v>175</v>
      </c>
      <c r="T60" s="45" t="s">
        <v>6</v>
      </c>
      <c r="U60" s="45">
        <v>0.1</v>
      </c>
      <c r="V60" s="45">
        <v>1.7</v>
      </c>
      <c r="W60" s="45">
        <v>0.53</v>
      </c>
      <c r="X60" s="45">
        <v>0.3</v>
      </c>
      <c r="Y60" s="45">
        <v>40.6</v>
      </c>
      <c r="AA60" s="45" t="s">
        <v>7</v>
      </c>
      <c r="AF60" s="45">
        <v>0.1</v>
      </c>
      <c r="AG60" s="45" t="s">
        <v>5</v>
      </c>
      <c r="AH60" s="45" t="s">
        <v>5</v>
      </c>
      <c r="AI60" s="45">
        <v>3.7</v>
      </c>
      <c r="AJ60" s="45">
        <v>150</v>
      </c>
      <c r="AR60" s="45">
        <f>2.25*100</f>
        <v>225</v>
      </c>
      <c r="AS60" s="45">
        <f>0.039/10*1000</f>
        <v>3.9</v>
      </c>
      <c r="AT60" s="45">
        <v>4400</v>
      </c>
      <c r="AU60" s="45">
        <f>810/10</f>
        <v>81</v>
      </c>
      <c r="AV60" s="45">
        <f>0.045/10*1000</f>
        <v>4.5</v>
      </c>
      <c r="AW60" s="45">
        <f>1700/10</f>
        <v>170</v>
      </c>
      <c r="AX60" s="45">
        <f>37/10</f>
        <v>3.7</v>
      </c>
      <c r="AY60" s="45">
        <f>0.086/10*1000</f>
        <v>8.6</v>
      </c>
      <c r="AZ60" s="45">
        <f>48/10</f>
        <v>4.8</v>
      </c>
      <c r="BA60" s="45">
        <f>5900/10</f>
        <v>590</v>
      </c>
      <c r="BB60" s="45">
        <f>300/10</f>
        <v>30</v>
      </c>
      <c r="BC60" s="45">
        <v>2.5</v>
      </c>
      <c r="BD60" s="45">
        <f>0.3/10*1000</f>
        <v>30</v>
      </c>
      <c r="BE60" s="45">
        <f>70/10*1000</f>
        <v>7000</v>
      </c>
      <c r="BF60" s="45">
        <f>75/10</f>
        <v>7.5</v>
      </c>
      <c r="BG60" s="45">
        <f>0.1/10*1000</f>
        <v>10</v>
      </c>
      <c r="BH60" s="45">
        <f>7500/10</f>
        <v>750</v>
      </c>
      <c r="BI60" s="45">
        <f>0.39/10*1000</f>
        <v>39</v>
      </c>
      <c r="BK60" s="48">
        <v>0.0468</v>
      </c>
      <c r="BL60" s="48">
        <v>0.5304</v>
      </c>
      <c r="BM60" s="48">
        <v>0</v>
      </c>
      <c r="BN60" s="48">
        <v>0</v>
      </c>
      <c r="BO60" s="48">
        <v>0</v>
      </c>
      <c r="BP60" s="48">
        <v>0.4836</v>
      </c>
      <c r="BQ60" s="48">
        <v>5.0856</v>
      </c>
      <c r="BR60" s="48">
        <v>9.906</v>
      </c>
      <c r="BS60" s="45" t="s">
        <v>5</v>
      </c>
      <c r="BT60" s="45" t="s">
        <v>5</v>
      </c>
      <c r="BU60" s="45" t="s">
        <v>5</v>
      </c>
      <c r="BV60" s="45" t="s">
        <v>5</v>
      </c>
      <c r="BW60" s="45" t="s">
        <v>5</v>
      </c>
      <c r="BX60" s="45" t="s">
        <v>5</v>
      </c>
      <c r="BY60" s="45" t="s">
        <v>5</v>
      </c>
      <c r="BZ60" s="45">
        <v>25</v>
      </c>
      <c r="CA60" s="45">
        <v>0.2</v>
      </c>
      <c r="CB60" s="45">
        <v>36.6</v>
      </c>
      <c r="CC60" s="45">
        <v>1.2</v>
      </c>
      <c r="CD60" s="45">
        <v>0.2</v>
      </c>
      <c r="CE60" s="45">
        <v>0.1</v>
      </c>
      <c r="CF60" s="45" t="s">
        <v>5</v>
      </c>
      <c r="CG60" s="45">
        <v>0.2</v>
      </c>
      <c r="CH60" s="45" t="s">
        <v>5</v>
      </c>
      <c r="CI60" s="45">
        <v>32.3</v>
      </c>
      <c r="CJ60" s="45" t="s">
        <v>5</v>
      </c>
      <c r="CK60" s="45" t="s">
        <v>5</v>
      </c>
      <c r="CL60" s="45" t="s">
        <v>5</v>
      </c>
      <c r="CM60" s="45">
        <v>3.1</v>
      </c>
      <c r="CN60" s="45" t="s">
        <v>5</v>
      </c>
      <c r="CO60" s="45">
        <v>0.3</v>
      </c>
      <c r="CP60" s="45" t="s">
        <v>5</v>
      </c>
      <c r="CQ60" s="45" t="s">
        <v>5</v>
      </c>
      <c r="CR60" s="45" t="s">
        <v>5</v>
      </c>
      <c r="CS60" s="45" t="s">
        <v>5</v>
      </c>
      <c r="CT60" s="45" t="s">
        <v>5</v>
      </c>
      <c r="CU60" s="45" t="s">
        <v>5</v>
      </c>
      <c r="CV60" s="45" t="s">
        <v>5</v>
      </c>
      <c r="CW60" s="45" t="s">
        <v>5</v>
      </c>
      <c r="CX60" s="45" t="s">
        <v>5</v>
      </c>
      <c r="CY60" s="45" t="s">
        <v>5</v>
      </c>
      <c r="CZ60" s="45" t="s">
        <v>5</v>
      </c>
      <c r="DA60" s="45" t="s">
        <v>5</v>
      </c>
      <c r="DB60" s="45" t="s">
        <v>5</v>
      </c>
      <c r="DC60" s="45" t="s">
        <v>5</v>
      </c>
      <c r="DD60" s="45" t="s">
        <v>5</v>
      </c>
      <c r="DE60" s="45" t="s">
        <v>5</v>
      </c>
      <c r="DF60" s="45" t="s">
        <v>5</v>
      </c>
      <c r="DG60" s="45" t="s">
        <v>5</v>
      </c>
      <c r="DH60" s="45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70"/>
  <sheetViews>
    <sheetView tabSelected="1" zoomScalePageLayoutView="0" workbookViewId="0" topLeftCell="A1">
      <pane xSplit="2" ySplit="2" topLeftCell="AI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L10" sqref="AL10"/>
    </sheetView>
  </sheetViews>
  <sheetFormatPr defaultColWidth="9.140625" defaultRowHeight="12.75"/>
  <cols>
    <col min="1" max="1" width="59.28125" style="73" customWidth="1"/>
    <col min="2" max="2" width="17.00390625" style="94" customWidth="1"/>
    <col min="3" max="3" width="11.7109375" style="75" customWidth="1"/>
    <col min="4" max="4" width="14.00390625" style="75" customWidth="1"/>
    <col min="5" max="5" width="11.57421875" style="75" customWidth="1"/>
    <col min="6" max="6" width="12.421875" style="75" customWidth="1"/>
    <col min="7" max="7" width="12.8515625" style="75" customWidth="1"/>
    <col min="8" max="8" width="12.57421875" style="75" customWidth="1"/>
    <col min="9" max="9" width="11.421875" style="75" customWidth="1"/>
    <col min="10" max="10" width="13.140625" style="75" customWidth="1"/>
    <col min="11" max="11" width="12.140625" style="75" customWidth="1"/>
    <col min="12" max="12" width="14.7109375" style="75" customWidth="1"/>
    <col min="13" max="13" width="15.8515625" style="75" customWidth="1"/>
    <col min="14" max="14" width="17.421875" style="75" customWidth="1"/>
    <col min="15" max="15" width="11.28125" style="75" customWidth="1"/>
    <col min="16" max="16" width="9.140625" style="75" hidden="1" customWidth="1"/>
    <col min="17" max="17" width="13.8515625" style="75" customWidth="1"/>
    <col min="18" max="23" width="16.57421875" style="75" customWidth="1"/>
    <col min="24" max="25" width="18.421875" style="75" customWidth="1"/>
    <col min="26" max="26" width="19.00390625" style="75" customWidth="1"/>
    <col min="27" max="27" width="15.421875" style="75" customWidth="1"/>
    <col min="28" max="28" width="15.7109375" style="75" customWidth="1"/>
    <col min="29" max="29" width="14.00390625" style="75" customWidth="1"/>
    <col min="30" max="30" width="20.28125" style="75" customWidth="1"/>
    <col min="31" max="31" width="16.140625" style="75" customWidth="1"/>
    <col min="32" max="32" width="17.00390625" style="75" customWidth="1"/>
    <col min="33" max="33" width="18.421875" style="75" customWidth="1"/>
    <col min="34" max="34" width="20.8515625" style="75" customWidth="1"/>
    <col min="35" max="35" width="21.8515625" style="75" customWidth="1"/>
    <col min="36" max="36" width="21.140625" style="75" customWidth="1"/>
    <col min="37" max="37" width="21.8515625" style="75" customWidth="1"/>
    <col min="38" max="38" width="17.140625" style="75" customWidth="1"/>
    <col min="39" max="39" width="14.140625" style="75" customWidth="1"/>
    <col min="40" max="40" width="12.421875" style="75" customWidth="1"/>
    <col min="41" max="41" width="13.57421875" style="75" customWidth="1"/>
    <col min="42" max="42" width="13.140625" style="75" customWidth="1"/>
    <col min="43" max="43" width="11.421875" style="75" customWidth="1"/>
    <col min="44" max="44" width="17.421875" style="75" customWidth="1"/>
    <col min="45" max="45" width="17.140625" style="75" customWidth="1"/>
    <col min="46" max="46" width="14.00390625" style="75" customWidth="1"/>
    <col min="47" max="47" width="11.140625" style="75" customWidth="1"/>
    <col min="48" max="48" width="15.57421875" style="75" customWidth="1"/>
    <col min="49" max="49" width="17.28125" style="75" customWidth="1"/>
    <col min="50" max="50" width="17.140625" style="75" customWidth="1"/>
    <col min="51" max="51" width="11.8515625" style="75" customWidth="1"/>
    <col min="52" max="52" width="15.00390625" style="75" customWidth="1"/>
    <col min="53" max="53" width="14.140625" style="75" customWidth="1"/>
    <col min="54" max="54" width="15.57421875" style="75" customWidth="1"/>
    <col min="55" max="55" width="13.8515625" style="75" customWidth="1"/>
    <col min="56" max="16384" width="9.140625" style="73" customWidth="1"/>
  </cols>
  <sheetData>
    <row r="1" spans="1:55" s="58" customFormat="1" ht="15">
      <c r="A1" s="34" t="s">
        <v>149</v>
      </c>
      <c r="B1" s="59"/>
      <c r="C1" s="60" t="s">
        <v>11</v>
      </c>
      <c r="D1" s="60" t="s">
        <v>12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 t="s">
        <v>150</v>
      </c>
      <c r="S1" s="60"/>
      <c r="T1" s="60"/>
      <c r="U1" s="60"/>
      <c r="V1" s="60"/>
      <c r="W1" s="60"/>
      <c r="X1" s="60" t="s">
        <v>0</v>
      </c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 t="s">
        <v>46</v>
      </c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</row>
    <row r="2" spans="1:56" s="64" customFormat="1" ht="46.5" customHeight="1">
      <c r="A2" s="61" t="s">
        <v>9</v>
      </c>
      <c r="B2" s="62" t="s">
        <v>10</v>
      </c>
      <c r="C2" s="62" t="s">
        <v>13</v>
      </c>
      <c r="D2" s="62" t="s">
        <v>22</v>
      </c>
      <c r="E2" s="62" t="s">
        <v>23</v>
      </c>
      <c r="F2" s="62" t="s">
        <v>198</v>
      </c>
      <c r="G2" s="62" t="s">
        <v>16</v>
      </c>
      <c r="H2" s="62" t="s">
        <v>17</v>
      </c>
      <c r="I2" s="62" t="s">
        <v>18</v>
      </c>
      <c r="J2" s="62" t="s">
        <v>19</v>
      </c>
      <c r="K2" s="62" t="s">
        <v>20</v>
      </c>
      <c r="L2" s="62" t="s">
        <v>21</v>
      </c>
      <c r="M2" s="62" t="s">
        <v>227</v>
      </c>
      <c r="N2" s="62" t="s">
        <v>228</v>
      </c>
      <c r="O2" s="62" t="s">
        <v>25</v>
      </c>
      <c r="P2" s="62" t="s">
        <v>229</v>
      </c>
      <c r="Q2" s="62" t="s">
        <v>230</v>
      </c>
      <c r="R2" s="62" t="s">
        <v>231</v>
      </c>
      <c r="S2" s="62" t="s">
        <v>232</v>
      </c>
      <c r="T2" s="62" t="s">
        <v>233</v>
      </c>
      <c r="U2" s="62" t="s">
        <v>234</v>
      </c>
      <c r="V2" s="62" t="s">
        <v>235</v>
      </c>
      <c r="W2" s="62" t="s">
        <v>236</v>
      </c>
      <c r="X2" s="62" t="s">
        <v>237</v>
      </c>
      <c r="Y2" s="62" t="s">
        <v>238</v>
      </c>
      <c r="Z2" s="62" t="s">
        <v>31</v>
      </c>
      <c r="AA2" s="62" t="s">
        <v>155</v>
      </c>
      <c r="AB2" s="62" t="s">
        <v>156</v>
      </c>
      <c r="AC2" s="62" t="s">
        <v>157</v>
      </c>
      <c r="AD2" s="62" t="s">
        <v>158</v>
      </c>
      <c r="AE2" s="62" t="s">
        <v>239</v>
      </c>
      <c r="AF2" s="62" t="s">
        <v>41</v>
      </c>
      <c r="AG2" s="62" t="s">
        <v>28</v>
      </c>
      <c r="AH2" s="62" t="s">
        <v>32</v>
      </c>
      <c r="AI2" s="62" t="s">
        <v>33</v>
      </c>
      <c r="AJ2" s="62" t="s">
        <v>34</v>
      </c>
      <c r="AK2" s="62" t="s">
        <v>35</v>
      </c>
      <c r="AL2" s="62" t="s">
        <v>44</v>
      </c>
      <c r="AM2" s="62" t="s">
        <v>117</v>
      </c>
      <c r="AN2" s="62" t="s">
        <v>122</v>
      </c>
      <c r="AO2" s="62" t="s">
        <v>171</v>
      </c>
      <c r="AP2" s="62" t="s">
        <v>49</v>
      </c>
      <c r="AQ2" s="62" t="s">
        <v>170</v>
      </c>
      <c r="AR2" s="62" t="s">
        <v>50</v>
      </c>
      <c r="AS2" s="62" t="s">
        <v>51</v>
      </c>
      <c r="AT2" s="62" t="s">
        <v>118</v>
      </c>
      <c r="AU2" s="62" t="s">
        <v>53</v>
      </c>
      <c r="AV2" s="62" t="s">
        <v>54</v>
      </c>
      <c r="AW2" s="62" t="s">
        <v>119</v>
      </c>
      <c r="AX2" s="62" t="s">
        <v>55</v>
      </c>
      <c r="AY2" s="62" t="s">
        <v>56</v>
      </c>
      <c r="AZ2" s="62" t="s">
        <v>120</v>
      </c>
      <c r="BA2" s="62" t="s">
        <v>121</v>
      </c>
      <c r="BB2" s="62" t="s">
        <v>123</v>
      </c>
      <c r="BC2" s="62" t="s">
        <v>52</v>
      </c>
      <c r="BD2" s="63"/>
    </row>
    <row r="3" spans="1:55" s="68" customFormat="1" ht="15" customHeight="1">
      <c r="A3" s="65" t="s">
        <v>240</v>
      </c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96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</row>
    <row r="4" spans="1:55" s="72" customFormat="1" ht="15" customHeight="1">
      <c r="A4" s="69" t="s">
        <v>241</v>
      </c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97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</row>
    <row r="5" spans="1:39" ht="15" customHeight="1">
      <c r="A5" s="73" t="s">
        <v>242</v>
      </c>
      <c r="B5" s="74" t="s">
        <v>2</v>
      </c>
      <c r="C5" s="75">
        <v>1.009</v>
      </c>
      <c r="D5" s="76">
        <v>91</v>
      </c>
      <c r="E5" s="75" t="s">
        <v>3</v>
      </c>
      <c r="F5" s="75">
        <v>0.5</v>
      </c>
      <c r="G5" s="75">
        <v>0.03</v>
      </c>
      <c r="H5" s="75">
        <v>0.02</v>
      </c>
      <c r="I5" s="75" t="s">
        <v>243</v>
      </c>
      <c r="J5" s="75">
        <v>0.18</v>
      </c>
      <c r="K5" s="75" t="s">
        <v>243</v>
      </c>
      <c r="L5" s="75" t="s">
        <v>7</v>
      </c>
      <c r="M5" s="75">
        <v>0.06</v>
      </c>
      <c r="N5" s="77">
        <v>0.5</v>
      </c>
      <c r="O5" s="75" t="s">
        <v>5</v>
      </c>
      <c r="R5" s="78">
        <v>0.020361619999999997</v>
      </c>
      <c r="S5" s="78">
        <v>0.030542429999999992</v>
      </c>
      <c r="T5" s="78">
        <v>0.12216971999999997</v>
      </c>
      <c r="U5" s="78">
        <v>0.026470105999999997</v>
      </c>
      <c r="V5" s="78" t="s">
        <v>244</v>
      </c>
      <c r="W5" s="78">
        <v>0.0030542429999999995</v>
      </c>
      <c r="AA5" s="75" t="s">
        <v>6</v>
      </c>
      <c r="AC5" s="75" t="s">
        <v>7</v>
      </c>
      <c r="AG5" s="75" t="s">
        <v>8</v>
      </c>
      <c r="AM5" s="75" t="s">
        <v>7</v>
      </c>
    </row>
    <row r="6" spans="1:55" ht="15">
      <c r="A6" s="73" t="s">
        <v>242</v>
      </c>
      <c r="B6" s="74" t="s">
        <v>204</v>
      </c>
      <c r="P6" s="75">
        <v>5</v>
      </c>
      <c r="Q6" s="79">
        <f>(P6*0.791)/$C$5</f>
        <v>3.9197224975223</v>
      </c>
      <c r="R6" s="79"/>
      <c r="S6" s="79"/>
      <c r="T6" s="79"/>
      <c r="U6" s="79"/>
      <c r="V6" s="79"/>
      <c r="W6" s="79"/>
      <c r="AN6" s="75" t="s">
        <v>7</v>
      </c>
      <c r="AO6" s="75">
        <f>21/10</f>
        <v>2.1</v>
      </c>
      <c r="AP6" s="75">
        <f>0.025/10</f>
        <v>0.0025</v>
      </c>
      <c r="AQ6" s="75" t="s">
        <v>7</v>
      </c>
      <c r="AR6" s="75">
        <v>0.13</v>
      </c>
      <c r="AS6" s="75">
        <f>170/10</f>
        <v>17</v>
      </c>
      <c r="AT6" s="75" t="s">
        <v>7</v>
      </c>
      <c r="AU6" s="75">
        <f>0.014/10</f>
        <v>0.0014</v>
      </c>
      <c r="AV6" s="75">
        <f>390/10</f>
        <v>39</v>
      </c>
      <c r="AW6" s="75" t="s">
        <v>7</v>
      </c>
      <c r="AX6" s="75">
        <f>66/10</f>
        <v>6.6</v>
      </c>
      <c r="AY6" s="75" t="s">
        <v>243</v>
      </c>
      <c r="AZ6" s="75" t="s">
        <v>7</v>
      </c>
      <c r="BA6" s="75" t="s">
        <v>7</v>
      </c>
      <c r="BB6" s="75" t="s">
        <v>245</v>
      </c>
      <c r="BC6" s="75">
        <v>1.6</v>
      </c>
    </row>
    <row r="7" spans="1:55" ht="15">
      <c r="A7" s="73" t="s">
        <v>242</v>
      </c>
      <c r="B7" s="74" t="s">
        <v>129</v>
      </c>
      <c r="P7" s="75">
        <v>5.2</v>
      </c>
      <c r="Q7" s="79">
        <f aca="true" t="shared" si="0" ref="Q7:Q13">(P7*0.791)/$C$5</f>
        <v>4.076511397423191</v>
      </c>
      <c r="R7" s="79"/>
      <c r="S7" s="79"/>
      <c r="T7" s="79"/>
      <c r="U7" s="79"/>
      <c r="V7" s="79"/>
      <c r="W7" s="79"/>
      <c r="AN7" s="75" t="s">
        <v>7</v>
      </c>
      <c r="AO7" s="75">
        <f>51/10</f>
        <v>5.1</v>
      </c>
      <c r="AP7" s="78">
        <f>0.01/10</f>
        <v>0.001</v>
      </c>
      <c r="AQ7" s="75" t="s">
        <v>7</v>
      </c>
      <c r="AR7" s="75">
        <v>0.19</v>
      </c>
      <c r="AS7" s="75">
        <f>220/10</f>
        <v>22</v>
      </c>
      <c r="AT7" s="75" t="s">
        <v>7</v>
      </c>
      <c r="AU7" s="75">
        <f>0.019/10</f>
        <v>0.0019</v>
      </c>
      <c r="AV7" s="75">
        <f>610/10</f>
        <v>61</v>
      </c>
      <c r="AW7" s="75" t="s">
        <v>7</v>
      </c>
      <c r="AX7" s="75">
        <f>100/10</f>
        <v>10</v>
      </c>
      <c r="AY7" s="75" t="s">
        <v>243</v>
      </c>
      <c r="AZ7" s="75" t="s">
        <v>7</v>
      </c>
      <c r="BA7" s="75" t="s">
        <v>7</v>
      </c>
      <c r="BB7" s="75" t="s">
        <v>245</v>
      </c>
      <c r="BC7" s="75">
        <v>6.6</v>
      </c>
    </row>
    <row r="8" spans="1:55" ht="15">
      <c r="A8" s="73" t="s">
        <v>242</v>
      </c>
      <c r="B8" s="74" t="s">
        <v>246</v>
      </c>
      <c r="P8" s="75">
        <v>5.8</v>
      </c>
      <c r="Q8" s="79">
        <f t="shared" si="0"/>
        <v>4.546878097125867</v>
      </c>
      <c r="R8" s="79"/>
      <c r="S8" s="79"/>
      <c r="T8" s="79"/>
      <c r="U8" s="79"/>
      <c r="V8" s="79"/>
      <c r="W8" s="79"/>
      <c r="AN8" s="75" t="s">
        <v>7</v>
      </c>
      <c r="AO8" s="75">
        <f>38/10</f>
        <v>3.8</v>
      </c>
      <c r="AP8" s="75">
        <f>0.049/10</f>
        <v>0.0049</v>
      </c>
      <c r="AQ8" s="75" t="s">
        <v>7</v>
      </c>
      <c r="AR8" s="75">
        <v>0.14</v>
      </c>
      <c r="AS8" s="75">
        <f>260/10</f>
        <v>26</v>
      </c>
      <c r="AT8" s="75" t="s">
        <v>7</v>
      </c>
      <c r="AU8" s="78">
        <f>0.02/10</f>
        <v>0.002</v>
      </c>
      <c r="AV8" s="75">
        <f>470/10</f>
        <v>47</v>
      </c>
      <c r="AW8" s="75" t="s">
        <v>7</v>
      </c>
      <c r="AX8" s="75">
        <f>94/10</f>
        <v>9.4</v>
      </c>
      <c r="AY8" s="75" t="s">
        <v>243</v>
      </c>
      <c r="AZ8" s="75" t="s">
        <v>7</v>
      </c>
      <c r="BA8" s="75" t="s">
        <v>7</v>
      </c>
      <c r="BB8" s="75" t="s">
        <v>245</v>
      </c>
      <c r="BC8" s="75">
        <v>2.9</v>
      </c>
    </row>
    <row r="9" spans="1:55" ht="15">
      <c r="A9" s="73" t="s">
        <v>242</v>
      </c>
      <c r="B9" s="74" t="s">
        <v>206</v>
      </c>
      <c r="P9" s="75">
        <v>6</v>
      </c>
      <c r="Q9" s="79">
        <f t="shared" si="0"/>
        <v>4.70366699702676</v>
      </c>
      <c r="R9" s="79"/>
      <c r="S9" s="79"/>
      <c r="T9" s="79"/>
      <c r="U9" s="79"/>
      <c r="V9" s="79"/>
      <c r="W9" s="79"/>
      <c r="AN9" s="75" t="s">
        <v>7</v>
      </c>
      <c r="AO9" s="75">
        <f>34/10</f>
        <v>3.4</v>
      </c>
      <c r="AP9" s="75">
        <f>0.023/10</f>
        <v>0.0023</v>
      </c>
      <c r="AQ9" s="75" t="s">
        <v>7</v>
      </c>
      <c r="AR9" s="80">
        <v>0.3</v>
      </c>
      <c r="AS9" s="75">
        <f>240/10</f>
        <v>24</v>
      </c>
      <c r="AT9" s="75" t="s">
        <v>7</v>
      </c>
      <c r="AU9" s="75">
        <f>0.036/10</f>
        <v>0.0036</v>
      </c>
      <c r="AV9" s="75">
        <f>640/10</f>
        <v>64</v>
      </c>
      <c r="AW9" s="75" t="s">
        <v>7</v>
      </c>
      <c r="AX9" s="75">
        <f>94/10</f>
        <v>9.4</v>
      </c>
      <c r="AY9" s="75" t="s">
        <v>243</v>
      </c>
      <c r="AZ9" s="75" t="s">
        <v>7</v>
      </c>
      <c r="BA9" s="75" t="s">
        <v>7</v>
      </c>
      <c r="BB9" s="75" t="s">
        <v>245</v>
      </c>
      <c r="BC9" s="75">
        <v>3.8</v>
      </c>
    </row>
    <row r="10" spans="1:55" ht="15">
      <c r="A10" s="73" t="s">
        <v>242</v>
      </c>
      <c r="B10" s="74" t="s">
        <v>132</v>
      </c>
      <c r="P10" s="75">
        <v>5.7</v>
      </c>
      <c r="Q10" s="79">
        <f t="shared" si="0"/>
        <v>4.468483647175422</v>
      </c>
      <c r="R10" s="79"/>
      <c r="S10" s="79"/>
      <c r="T10" s="79"/>
      <c r="U10" s="79"/>
      <c r="V10" s="79"/>
      <c r="W10" s="79"/>
      <c r="AN10" s="75" t="s">
        <v>7</v>
      </c>
      <c r="AO10" s="75">
        <f>11/10</f>
        <v>1.1</v>
      </c>
      <c r="AP10" s="78">
        <f>0.04/10</f>
        <v>0.004</v>
      </c>
      <c r="AQ10" s="75" t="s">
        <v>7</v>
      </c>
      <c r="AR10" s="80">
        <v>0.2</v>
      </c>
      <c r="AS10" s="75">
        <f>270/10</f>
        <v>27</v>
      </c>
      <c r="AT10" s="75" t="s">
        <v>7</v>
      </c>
      <c r="AU10" s="75">
        <f>0.024/10</f>
        <v>0.0024000000000000002</v>
      </c>
      <c r="AV10" s="75">
        <f>380/10</f>
        <v>38</v>
      </c>
      <c r="AW10" s="75" t="s">
        <v>7</v>
      </c>
      <c r="AX10" s="75">
        <f>78/10</f>
        <v>7.8</v>
      </c>
      <c r="AY10" s="75">
        <f>0.25/10</f>
        <v>0.025</v>
      </c>
      <c r="AZ10" s="75" t="s">
        <v>7</v>
      </c>
      <c r="BA10" s="75" t="s">
        <v>7</v>
      </c>
      <c r="BB10" s="75">
        <f>0.13/10*1000</f>
        <v>13.000000000000002</v>
      </c>
      <c r="BC10" s="75">
        <v>1.6</v>
      </c>
    </row>
    <row r="11" spans="1:55" ht="15">
      <c r="A11" s="73" t="s">
        <v>242</v>
      </c>
      <c r="B11" s="74" t="s">
        <v>247</v>
      </c>
      <c r="P11" s="75">
        <v>6.4</v>
      </c>
      <c r="Q11" s="79">
        <f t="shared" si="0"/>
        <v>5.017244796828544</v>
      </c>
      <c r="R11" s="79"/>
      <c r="S11" s="79"/>
      <c r="T11" s="79"/>
      <c r="U11" s="79"/>
      <c r="V11" s="79"/>
      <c r="W11" s="79"/>
      <c r="AN11" s="75" t="s">
        <v>7</v>
      </c>
      <c r="AO11" s="75">
        <f>51/10</f>
        <v>5.1</v>
      </c>
      <c r="AP11" s="75">
        <f>0.026/10</f>
        <v>0.0026</v>
      </c>
      <c r="AQ11" s="75" t="s">
        <v>7</v>
      </c>
      <c r="AR11" s="75">
        <v>0.24</v>
      </c>
      <c r="AS11" s="75">
        <f>280/10</f>
        <v>28</v>
      </c>
      <c r="AT11" s="75" t="s">
        <v>7</v>
      </c>
      <c r="AU11" s="75">
        <f>0.033/10</f>
        <v>0.0033</v>
      </c>
      <c r="AV11" s="75">
        <f>470/10</f>
        <v>47</v>
      </c>
      <c r="AW11" s="75">
        <f>0.018/10*1000</f>
        <v>1.8</v>
      </c>
      <c r="AX11" s="75">
        <f>110/10</f>
        <v>11</v>
      </c>
      <c r="AY11" s="75">
        <f>0.23/10</f>
        <v>0.023</v>
      </c>
      <c r="AZ11" s="75" t="s">
        <v>7</v>
      </c>
      <c r="BA11" s="75" t="s">
        <v>7</v>
      </c>
      <c r="BB11" s="75" t="s">
        <v>245</v>
      </c>
      <c r="BC11" s="75">
        <v>2.8</v>
      </c>
    </row>
    <row r="12" spans="1:55" ht="15">
      <c r="A12" s="73" t="s">
        <v>242</v>
      </c>
      <c r="B12" s="74" t="s">
        <v>207</v>
      </c>
      <c r="P12" s="75">
        <v>5.8</v>
      </c>
      <c r="Q12" s="79">
        <f t="shared" si="0"/>
        <v>4.546878097125867</v>
      </c>
      <c r="R12" s="79"/>
      <c r="S12" s="79"/>
      <c r="T12" s="79"/>
      <c r="U12" s="79"/>
      <c r="V12" s="79"/>
      <c r="W12" s="79"/>
      <c r="AN12" s="75" t="s">
        <v>7</v>
      </c>
      <c r="AO12" s="75">
        <f>19/10</f>
        <v>1.9</v>
      </c>
      <c r="AP12" s="75">
        <f>0.014/10</f>
        <v>0.0014</v>
      </c>
      <c r="AQ12" s="75" t="s">
        <v>7</v>
      </c>
      <c r="AR12" s="75">
        <v>0.27</v>
      </c>
      <c r="AS12" s="75">
        <f>210/10</f>
        <v>21</v>
      </c>
      <c r="AT12" s="75" t="s">
        <v>7</v>
      </c>
      <c r="AU12" s="75" t="s">
        <v>125</v>
      </c>
      <c r="AV12" s="75">
        <f>770/10</f>
        <v>77</v>
      </c>
      <c r="AW12" s="75" t="s">
        <v>7</v>
      </c>
      <c r="AX12" s="75">
        <f>94/10</f>
        <v>9.4</v>
      </c>
      <c r="AY12" s="75" t="s">
        <v>243</v>
      </c>
      <c r="AZ12" s="75" t="s">
        <v>7</v>
      </c>
      <c r="BA12" s="75" t="s">
        <v>7</v>
      </c>
      <c r="BB12" s="75" t="s">
        <v>245</v>
      </c>
      <c r="BC12" s="75">
        <v>12</v>
      </c>
    </row>
    <row r="13" spans="1:55" ht="15">
      <c r="A13" s="73" t="s">
        <v>242</v>
      </c>
      <c r="B13" s="74" t="s">
        <v>208</v>
      </c>
      <c r="P13" s="75">
        <v>6.3</v>
      </c>
      <c r="Q13" s="79">
        <f t="shared" si="0"/>
        <v>4.938850346878097</v>
      </c>
      <c r="R13" s="79"/>
      <c r="S13" s="79"/>
      <c r="T13" s="79"/>
      <c r="U13" s="79"/>
      <c r="V13" s="79"/>
      <c r="W13" s="79"/>
      <c r="AN13" s="75" t="s">
        <v>7</v>
      </c>
      <c r="AO13" s="75">
        <f>100/10</f>
        <v>10</v>
      </c>
      <c r="AP13" s="75">
        <f>0.023/10</f>
        <v>0.0023</v>
      </c>
      <c r="AQ13" s="75" t="s">
        <v>7</v>
      </c>
      <c r="AR13" s="75">
        <v>0.32</v>
      </c>
      <c r="AS13" s="75">
        <f>190/10</f>
        <v>19</v>
      </c>
      <c r="AT13" s="75" t="s">
        <v>7</v>
      </c>
      <c r="AU13" s="75" t="s">
        <v>125</v>
      </c>
      <c r="AV13" s="75">
        <f>660/10</f>
        <v>66</v>
      </c>
      <c r="AW13" s="75" t="s">
        <v>7</v>
      </c>
      <c r="AX13" s="75">
        <f>110/10</f>
        <v>11</v>
      </c>
      <c r="AY13" s="75" t="s">
        <v>243</v>
      </c>
      <c r="AZ13" s="75">
        <f>0.012/10*1000</f>
        <v>1.2000000000000002</v>
      </c>
      <c r="BA13" s="75" t="s">
        <v>7</v>
      </c>
      <c r="BB13" s="75" t="s">
        <v>245</v>
      </c>
      <c r="BC13" s="75">
        <v>3.5</v>
      </c>
    </row>
    <row r="14" spans="1:39" ht="15">
      <c r="A14" s="73" t="s">
        <v>248</v>
      </c>
      <c r="B14" s="74" t="s">
        <v>2</v>
      </c>
      <c r="C14" s="75">
        <v>1.005</v>
      </c>
      <c r="D14" s="75">
        <v>93</v>
      </c>
      <c r="E14" s="75" t="s">
        <v>3</v>
      </c>
      <c r="F14" s="75">
        <v>0.4</v>
      </c>
      <c r="G14" s="75">
        <v>0.02</v>
      </c>
      <c r="H14" s="75" t="s">
        <v>243</v>
      </c>
      <c r="I14" s="75" t="s">
        <v>243</v>
      </c>
      <c r="J14" s="75">
        <v>0.03</v>
      </c>
      <c r="K14" s="75" t="s">
        <v>243</v>
      </c>
      <c r="L14" s="75" t="s">
        <v>7</v>
      </c>
      <c r="M14" s="75">
        <v>0.04</v>
      </c>
      <c r="N14" s="77">
        <v>0.4</v>
      </c>
      <c r="O14" s="75">
        <v>0.1</v>
      </c>
      <c r="R14" s="78">
        <v>0.010100249999999998</v>
      </c>
      <c r="S14" s="78">
        <v>0.030300749999999994</v>
      </c>
      <c r="T14" s="78">
        <v>0.07070174999999998</v>
      </c>
      <c r="U14" s="78">
        <v>0.03434084999999999</v>
      </c>
      <c r="V14" s="78" t="s">
        <v>244</v>
      </c>
      <c r="W14" s="78">
        <v>0.004040099999999999</v>
      </c>
      <c r="X14" s="75" t="s">
        <v>175</v>
      </c>
      <c r="Y14" s="75" t="s">
        <v>175</v>
      </c>
      <c r="Z14" s="75" t="s">
        <v>175</v>
      </c>
      <c r="AA14" s="75" t="s">
        <v>6</v>
      </c>
      <c r="AB14" s="75">
        <v>0.03</v>
      </c>
      <c r="AC14" s="75" t="s">
        <v>7</v>
      </c>
      <c r="AD14" s="81" t="s">
        <v>249</v>
      </c>
      <c r="AE14" s="75">
        <v>0.03</v>
      </c>
      <c r="AF14" s="81" t="s">
        <v>42</v>
      </c>
      <c r="AG14" s="75" t="s">
        <v>8</v>
      </c>
      <c r="AH14" s="75" t="s">
        <v>5</v>
      </c>
      <c r="AI14" s="75" t="s">
        <v>5</v>
      </c>
      <c r="AJ14" s="75" t="s">
        <v>5</v>
      </c>
      <c r="AK14" s="75" t="s">
        <v>5</v>
      </c>
      <c r="AL14" s="78">
        <f>29.2/1000*100</f>
        <v>2.92</v>
      </c>
      <c r="AM14" s="75" t="s">
        <v>7</v>
      </c>
    </row>
    <row r="15" spans="1:55" ht="15">
      <c r="A15" s="73" t="s">
        <v>248</v>
      </c>
      <c r="B15" s="74" t="s">
        <v>204</v>
      </c>
      <c r="P15" s="75">
        <v>4.6</v>
      </c>
      <c r="Q15" s="79">
        <f>(P15*0.791)/$C$14</f>
        <v>3.620497512437811</v>
      </c>
      <c r="R15" s="79"/>
      <c r="S15" s="79"/>
      <c r="T15" s="79"/>
      <c r="U15" s="79"/>
      <c r="V15" s="79"/>
      <c r="W15" s="79"/>
      <c r="AN15" s="75" t="s">
        <v>7</v>
      </c>
      <c r="AO15" s="75">
        <f>54/10</f>
        <v>5.4</v>
      </c>
      <c r="AP15" s="75">
        <f>0.011/10</f>
        <v>0.0010999999999999998</v>
      </c>
      <c r="AQ15" s="75" t="s">
        <v>7</v>
      </c>
      <c r="AR15" s="75">
        <v>0.067</v>
      </c>
      <c r="AS15" s="75">
        <f>120/10</f>
        <v>12</v>
      </c>
      <c r="AT15" s="75" t="s">
        <v>7</v>
      </c>
      <c r="AU15" s="75">
        <f>0.013/10</f>
        <v>0.0013</v>
      </c>
      <c r="AV15" s="75">
        <f>280/10</f>
        <v>28</v>
      </c>
      <c r="AW15" s="75" t="s">
        <v>7</v>
      </c>
      <c r="AX15" s="75">
        <f>41/10</f>
        <v>4.1</v>
      </c>
      <c r="AY15" s="75" t="s">
        <v>243</v>
      </c>
      <c r="AZ15" s="75" t="s">
        <v>7</v>
      </c>
      <c r="BA15" s="75" t="s">
        <v>7</v>
      </c>
      <c r="BB15" s="75">
        <f>0.15/10*1000</f>
        <v>15</v>
      </c>
      <c r="BC15" s="75">
        <v>8.1</v>
      </c>
    </row>
    <row r="16" spans="1:55" ht="15">
      <c r="A16" s="73" t="s">
        <v>248</v>
      </c>
      <c r="B16" s="74" t="s">
        <v>129</v>
      </c>
      <c r="P16" s="75">
        <v>4.9</v>
      </c>
      <c r="Q16" s="79">
        <f aca="true" t="shared" si="1" ref="Q16:Q22">(P16*0.791)/$C$14</f>
        <v>3.8566169154228866</v>
      </c>
      <c r="R16" s="79"/>
      <c r="S16" s="79"/>
      <c r="T16" s="79"/>
      <c r="U16" s="79"/>
      <c r="V16" s="79"/>
      <c r="W16" s="79"/>
      <c r="AN16" s="75" t="s">
        <v>7</v>
      </c>
      <c r="AO16" s="75">
        <f>28/10</f>
        <v>2.8</v>
      </c>
      <c r="AP16" s="75">
        <f>0.012/10</f>
        <v>0.0012000000000000001</v>
      </c>
      <c r="AQ16" s="75" t="s">
        <v>7</v>
      </c>
      <c r="AR16" s="75">
        <v>0.061</v>
      </c>
      <c r="AS16" s="75">
        <f>110/10</f>
        <v>11</v>
      </c>
      <c r="AT16" s="75" t="s">
        <v>7</v>
      </c>
      <c r="AU16" s="75">
        <f>0.013/10</f>
        <v>0.0013</v>
      </c>
      <c r="AV16" s="75">
        <f>280/10</f>
        <v>28</v>
      </c>
      <c r="AW16" s="75" t="s">
        <v>7</v>
      </c>
      <c r="AX16" s="75">
        <f>50/10</f>
        <v>5</v>
      </c>
      <c r="AY16" s="75" t="s">
        <v>243</v>
      </c>
      <c r="AZ16" s="75" t="s">
        <v>7</v>
      </c>
      <c r="BA16" s="75" t="s">
        <v>7</v>
      </c>
      <c r="BB16" s="75" t="s">
        <v>245</v>
      </c>
      <c r="BC16" s="75">
        <v>8.6</v>
      </c>
    </row>
    <row r="17" spans="1:55" ht="15">
      <c r="A17" s="73" t="s">
        <v>248</v>
      </c>
      <c r="B17" s="74" t="s">
        <v>246</v>
      </c>
      <c r="P17" s="75">
        <v>5.1</v>
      </c>
      <c r="Q17" s="79">
        <f t="shared" si="1"/>
        <v>4.014029850746269</v>
      </c>
      <c r="R17" s="79"/>
      <c r="S17" s="79"/>
      <c r="T17" s="79"/>
      <c r="U17" s="79"/>
      <c r="V17" s="79"/>
      <c r="W17" s="79"/>
      <c r="AN17" s="75" t="s">
        <v>7</v>
      </c>
      <c r="AO17" s="75">
        <f>61/10</f>
        <v>6.1</v>
      </c>
      <c r="AP17" s="75">
        <f>0.028/10</f>
        <v>0.0028</v>
      </c>
      <c r="AQ17" s="75" t="s">
        <v>7</v>
      </c>
      <c r="AR17" s="75">
        <v>0.089</v>
      </c>
      <c r="AS17" s="75">
        <f>170/10</f>
        <v>17</v>
      </c>
      <c r="AT17" s="75" t="s">
        <v>7</v>
      </c>
      <c r="AU17" s="75">
        <f>0.018/10</f>
        <v>0.0018</v>
      </c>
      <c r="AV17" s="75">
        <f>420/10</f>
        <v>42</v>
      </c>
      <c r="AW17" s="75" t="s">
        <v>7</v>
      </c>
      <c r="AX17" s="75">
        <f>71/10</f>
        <v>7.1</v>
      </c>
      <c r="AY17" s="75" t="s">
        <v>243</v>
      </c>
      <c r="AZ17" s="75" t="s">
        <v>7</v>
      </c>
      <c r="BA17" s="75" t="s">
        <v>7</v>
      </c>
      <c r="BB17" s="75" t="s">
        <v>245</v>
      </c>
      <c r="BC17" s="75">
        <v>5.9</v>
      </c>
    </row>
    <row r="18" spans="1:55" ht="15">
      <c r="A18" s="73" t="s">
        <v>248</v>
      </c>
      <c r="B18" s="74" t="s">
        <v>206</v>
      </c>
      <c r="P18" s="75">
        <v>4.5</v>
      </c>
      <c r="Q18" s="79">
        <f t="shared" si="1"/>
        <v>3.54179104477612</v>
      </c>
      <c r="R18" s="79"/>
      <c r="S18" s="79"/>
      <c r="T18" s="79"/>
      <c r="U18" s="79"/>
      <c r="V18" s="79"/>
      <c r="W18" s="79"/>
      <c r="AN18" s="75" t="s">
        <v>7</v>
      </c>
      <c r="AO18" s="75">
        <f>60/10</f>
        <v>6</v>
      </c>
      <c r="AP18" s="75">
        <f>0.031/10</f>
        <v>0.0031</v>
      </c>
      <c r="AQ18" s="75" t="s">
        <v>7</v>
      </c>
      <c r="AR18" s="75">
        <f>0.11/10</f>
        <v>0.011</v>
      </c>
      <c r="AS18" s="75">
        <f>110/10</f>
        <v>11</v>
      </c>
      <c r="AT18" s="75" t="s">
        <v>7</v>
      </c>
      <c r="AU18" s="75" t="s">
        <v>125</v>
      </c>
      <c r="AV18" s="75">
        <f>300/10</f>
        <v>30</v>
      </c>
      <c r="AW18" s="75" t="s">
        <v>7</v>
      </c>
      <c r="AX18" s="75">
        <f>58/10</f>
        <v>5.8</v>
      </c>
      <c r="AY18" s="75" t="s">
        <v>243</v>
      </c>
      <c r="AZ18" s="75" t="s">
        <v>7</v>
      </c>
      <c r="BA18" s="75" t="s">
        <v>7</v>
      </c>
      <c r="BB18" s="75" t="s">
        <v>245</v>
      </c>
      <c r="BC18" s="75">
        <v>3.4</v>
      </c>
    </row>
    <row r="19" spans="1:55" ht="15">
      <c r="A19" s="73" t="s">
        <v>248</v>
      </c>
      <c r="B19" s="74" t="s">
        <v>132</v>
      </c>
      <c r="P19" s="75">
        <v>4.8</v>
      </c>
      <c r="Q19" s="79">
        <f t="shared" si="1"/>
        <v>3.7779104477611947</v>
      </c>
      <c r="R19" s="79"/>
      <c r="S19" s="79"/>
      <c r="T19" s="79"/>
      <c r="U19" s="79"/>
      <c r="V19" s="79"/>
      <c r="W19" s="79"/>
      <c r="AN19" s="75" t="s">
        <v>7</v>
      </c>
      <c r="AO19" s="75">
        <f>26/10</f>
        <v>2.6</v>
      </c>
      <c r="AP19" s="75">
        <f>0.014/10</f>
        <v>0.0014</v>
      </c>
      <c r="AQ19" s="75" t="s">
        <v>7</v>
      </c>
      <c r="AR19" s="80">
        <f>0.1/10</f>
        <v>0.01</v>
      </c>
      <c r="AS19" s="75">
        <f>200/10</f>
        <v>20</v>
      </c>
      <c r="AT19" s="75" t="s">
        <v>7</v>
      </c>
      <c r="AU19" s="75">
        <f>0.016/10</f>
        <v>0.0016</v>
      </c>
      <c r="AV19" s="75">
        <f>540/10</f>
        <v>54</v>
      </c>
      <c r="AW19" s="75" t="s">
        <v>7</v>
      </c>
      <c r="AX19" s="75">
        <f>73/10</f>
        <v>7.3</v>
      </c>
      <c r="AY19" s="75" t="s">
        <v>243</v>
      </c>
      <c r="AZ19" s="75">
        <f>0.016/10*1000</f>
        <v>1.6</v>
      </c>
      <c r="BA19" s="75" t="s">
        <v>7</v>
      </c>
      <c r="BB19" s="75" t="s">
        <v>245</v>
      </c>
      <c r="BC19" s="75">
        <v>2.5</v>
      </c>
    </row>
    <row r="20" spans="1:55" ht="15">
      <c r="A20" s="73" t="s">
        <v>248</v>
      </c>
      <c r="B20" s="74" t="s">
        <v>247</v>
      </c>
      <c r="P20" s="75">
        <v>4.4</v>
      </c>
      <c r="Q20" s="79">
        <f t="shared" si="1"/>
        <v>3.4630845771144285</v>
      </c>
      <c r="R20" s="79"/>
      <c r="S20" s="79"/>
      <c r="T20" s="79"/>
      <c r="U20" s="79"/>
      <c r="V20" s="79"/>
      <c r="W20" s="79"/>
      <c r="AN20" s="75" t="s">
        <v>7</v>
      </c>
      <c r="AO20" s="75">
        <f>53/10</f>
        <v>5.3</v>
      </c>
      <c r="AP20" s="75">
        <f>0.028/10</f>
        <v>0.0028</v>
      </c>
      <c r="AQ20" s="75" t="s">
        <v>7</v>
      </c>
      <c r="AR20" s="75">
        <f>0.17/10</f>
        <v>0.017</v>
      </c>
      <c r="AS20" s="75">
        <f>120/10</f>
        <v>12</v>
      </c>
      <c r="AT20" s="75" t="s">
        <v>7</v>
      </c>
      <c r="AU20" s="75">
        <f>0.014/10</f>
        <v>0.0014</v>
      </c>
      <c r="AV20" s="75">
        <f>290/10</f>
        <v>29</v>
      </c>
      <c r="AW20" s="75" t="s">
        <v>7</v>
      </c>
      <c r="AX20" s="75">
        <f>64/10</f>
        <v>6.4</v>
      </c>
      <c r="AY20" s="75" t="s">
        <v>243</v>
      </c>
      <c r="AZ20" s="75" t="s">
        <v>7</v>
      </c>
      <c r="BA20" s="75" t="s">
        <v>7</v>
      </c>
      <c r="BB20" s="75" t="s">
        <v>245</v>
      </c>
      <c r="BC20" s="75">
        <v>3.1</v>
      </c>
    </row>
    <row r="21" spans="1:55" ht="15">
      <c r="A21" s="73" t="s">
        <v>248</v>
      </c>
      <c r="B21" s="74" t="s">
        <v>207</v>
      </c>
      <c r="P21" s="75">
        <v>4.5</v>
      </c>
      <c r="Q21" s="79">
        <f t="shared" si="1"/>
        <v>3.54179104477612</v>
      </c>
      <c r="R21" s="79"/>
      <c r="S21" s="79"/>
      <c r="T21" s="79"/>
      <c r="U21" s="79"/>
      <c r="V21" s="79"/>
      <c r="W21" s="79"/>
      <c r="AN21" s="75" t="s">
        <v>7</v>
      </c>
      <c r="AO21" s="75">
        <f>54/10</f>
        <v>5.4</v>
      </c>
      <c r="AP21" s="75">
        <f>0.022/10</f>
        <v>0.0021999999999999997</v>
      </c>
      <c r="AQ21" s="75" t="s">
        <v>7</v>
      </c>
      <c r="AR21" s="75">
        <f>0.24/10</f>
        <v>0.024</v>
      </c>
      <c r="AS21" s="75">
        <f>260/10</f>
        <v>26</v>
      </c>
      <c r="AT21" s="75" t="s">
        <v>7</v>
      </c>
      <c r="AU21" s="75">
        <f>0.029/10</f>
        <v>0.0029000000000000002</v>
      </c>
      <c r="AV21" s="75">
        <f>410/10</f>
        <v>41</v>
      </c>
      <c r="AW21" s="75" t="s">
        <v>7</v>
      </c>
      <c r="AX21" s="75">
        <f>90/10</f>
        <v>9</v>
      </c>
      <c r="AY21" s="75" t="s">
        <v>243</v>
      </c>
      <c r="AZ21" s="75" t="s">
        <v>7</v>
      </c>
      <c r="BA21" s="75" t="s">
        <v>7</v>
      </c>
      <c r="BB21" s="75" t="s">
        <v>245</v>
      </c>
      <c r="BC21" s="75">
        <v>3.1</v>
      </c>
    </row>
    <row r="22" spans="1:55" ht="15">
      <c r="A22" s="73" t="s">
        <v>248</v>
      </c>
      <c r="B22" s="74" t="s">
        <v>208</v>
      </c>
      <c r="P22" s="75">
        <v>4.5</v>
      </c>
      <c r="Q22" s="79">
        <f t="shared" si="1"/>
        <v>3.54179104477612</v>
      </c>
      <c r="R22" s="79"/>
      <c r="S22" s="79"/>
      <c r="T22" s="79"/>
      <c r="U22" s="79"/>
      <c r="V22" s="79"/>
      <c r="W22" s="79"/>
      <c r="AN22" s="75" t="s">
        <v>7</v>
      </c>
      <c r="AO22" s="75">
        <f>16/10</f>
        <v>1.6</v>
      </c>
      <c r="AP22" s="75">
        <f>0.013/10</f>
        <v>0.0013</v>
      </c>
      <c r="AQ22" s="75" t="s">
        <v>7</v>
      </c>
      <c r="AR22" s="75">
        <f>0.089/10</f>
        <v>0.0089</v>
      </c>
      <c r="AS22" s="75">
        <f>170/10</f>
        <v>17</v>
      </c>
      <c r="AT22" s="75" t="s">
        <v>7</v>
      </c>
      <c r="AU22" s="75">
        <f>0.025/10</f>
        <v>0.0025</v>
      </c>
      <c r="AV22" s="75">
        <f>350/10</f>
        <v>35</v>
      </c>
      <c r="AW22" s="75" t="s">
        <v>7</v>
      </c>
      <c r="AX22" s="75">
        <f>57/10</f>
        <v>5.7</v>
      </c>
      <c r="AY22" s="75" t="s">
        <v>243</v>
      </c>
      <c r="AZ22" s="75" t="s">
        <v>7</v>
      </c>
      <c r="BA22" s="75" t="s">
        <v>7</v>
      </c>
      <c r="BB22" s="75" t="s">
        <v>245</v>
      </c>
      <c r="BC22" s="75">
        <v>1.7</v>
      </c>
    </row>
    <row r="23" spans="1:39" ht="15">
      <c r="A23" s="73" t="s">
        <v>250</v>
      </c>
      <c r="B23" s="74" t="s">
        <v>2</v>
      </c>
      <c r="C23" s="75">
        <v>1.006</v>
      </c>
      <c r="D23" s="75">
        <v>94.1</v>
      </c>
      <c r="E23" s="75" t="s">
        <v>3</v>
      </c>
      <c r="F23" s="75">
        <v>0.3</v>
      </c>
      <c r="G23" s="75">
        <v>0.02</v>
      </c>
      <c r="H23" s="75" t="s">
        <v>243</v>
      </c>
      <c r="I23" s="75" t="s">
        <v>243</v>
      </c>
      <c r="J23" s="75">
        <v>0.02</v>
      </c>
      <c r="K23" s="75" t="s">
        <v>243</v>
      </c>
      <c r="L23" s="75" t="s">
        <v>7</v>
      </c>
      <c r="M23" s="75">
        <v>0.02</v>
      </c>
      <c r="N23" s="77">
        <v>0.3</v>
      </c>
      <c r="O23" s="75" t="s">
        <v>5</v>
      </c>
      <c r="R23" s="78">
        <v>0.01012036</v>
      </c>
      <c r="S23" s="78">
        <v>0.03036108</v>
      </c>
      <c r="T23" s="78">
        <v>0.08096288</v>
      </c>
      <c r="U23" s="78">
        <v>0.031373116</v>
      </c>
      <c r="V23" s="78" t="s">
        <v>244</v>
      </c>
      <c r="W23" s="78">
        <v>0.0030361080000000005</v>
      </c>
      <c r="AA23" s="75" t="s">
        <v>6</v>
      </c>
      <c r="AC23" s="75" t="s">
        <v>7</v>
      </c>
      <c r="AG23" s="75" t="s">
        <v>8</v>
      </c>
      <c r="AM23" s="75" t="s">
        <v>7</v>
      </c>
    </row>
    <row r="24" spans="1:55" ht="15">
      <c r="A24" s="73" t="s">
        <v>250</v>
      </c>
      <c r="B24" s="74" t="s">
        <v>204</v>
      </c>
      <c r="P24" s="75">
        <v>3.4</v>
      </c>
      <c r="Q24" s="79">
        <f>(P24*0.791)/$C$23</f>
        <v>2.6733598409542743</v>
      </c>
      <c r="R24" s="79"/>
      <c r="S24" s="79"/>
      <c r="T24" s="79"/>
      <c r="U24" s="79"/>
      <c r="V24" s="79"/>
      <c r="W24" s="79"/>
      <c r="AN24" s="75" t="s">
        <v>7</v>
      </c>
      <c r="AO24" s="75">
        <f>38/10</f>
        <v>3.8</v>
      </c>
      <c r="AP24" s="78">
        <f>0.01/10</f>
        <v>0.001</v>
      </c>
      <c r="AQ24" s="75" t="s">
        <v>7</v>
      </c>
      <c r="AR24" s="75">
        <f>0.037/10</f>
        <v>0.0036999999999999997</v>
      </c>
      <c r="AS24" s="75">
        <f>67/10</f>
        <v>6.7</v>
      </c>
      <c r="AT24" s="75" t="s">
        <v>7</v>
      </c>
      <c r="AU24" s="75" t="s">
        <v>125</v>
      </c>
      <c r="AV24" s="75">
        <f>260/10</f>
        <v>26</v>
      </c>
      <c r="AW24" s="75" t="s">
        <v>7</v>
      </c>
      <c r="AX24" s="75">
        <f>36/10</f>
        <v>3.6</v>
      </c>
      <c r="AY24" s="75" t="s">
        <v>243</v>
      </c>
      <c r="AZ24" s="75" t="s">
        <v>7</v>
      </c>
      <c r="BA24" s="75" t="s">
        <v>7</v>
      </c>
      <c r="BB24" s="75" t="s">
        <v>245</v>
      </c>
      <c r="BC24" s="79">
        <v>7</v>
      </c>
    </row>
    <row r="25" spans="1:55" ht="15">
      <c r="A25" s="73" t="s">
        <v>250</v>
      </c>
      <c r="B25" s="74" t="s">
        <v>129</v>
      </c>
      <c r="P25" s="75">
        <v>3.5</v>
      </c>
      <c r="Q25" s="79">
        <f aca="true" t="shared" si="2" ref="Q25:Q31">(P25*0.791)/$C$23</f>
        <v>2.7519880715705765</v>
      </c>
      <c r="R25" s="79"/>
      <c r="S25" s="79"/>
      <c r="T25" s="79"/>
      <c r="U25" s="79"/>
      <c r="V25" s="79"/>
      <c r="W25" s="79"/>
      <c r="AN25" s="75" t="s">
        <v>7</v>
      </c>
      <c r="AO25" s="75">
        <f>45/10</f>
        <v>4.5</v>
      </c>
      <c r="AP25" s="75" t="s">
        <v>125</v>
      </c>
      <c r="AQ25" s="75" t="s">
        <v>7</v>
      </c>
      <c r="AR25" s="75">
        <f>0.061/10</f>
        <v>0.0060999999999999995</v>
      </c>
      <c r="AS25" s="75">
        <f>82/10</f>
        <v>8.2</v>
      </c>
      <c r="AT25" s="75" t="s">
        <v>7</v>
      </c>
      <c r="AU25" s="75" t="s">
        <v>125</v>
      </c>
      <c r="AV25" s="75">
        <f>200/10</f>
        <v>20</v>
      </c>
      <c r="AW25" s="75" t="s">
        <v>7</v>
      </c>
      <c r="AX25" s="75">
        <f>34/10</f>
        <v>3.4</v>
      </c>
      <c r="AY25" s="75" t="s">
        <v>243</v>
      </c>
      <c r="AZ25" s="75" t="s">
        <v>7</v>
      </c>
      <c r="BA25" s="75" t="s">
        <v>7</v>
      </c>
      <c r="BB25" s="75">
        <f>0.17/10*1000</f>
        <v>17</v>
      </c>
      <c r="BC25" s="75">
        <v>6.5</v>
      </c>
    </row>
    <row r="26" spans="1:55" ht="15">
      <c r="A26" s="73" t="s">
        <v>250</v>
      </c>
      <c r="B26" s="74" t="s">
        <v>246</v>
      </c>
      <c r="P26" s="75">
        <v>3.5</v>
      </c>
      <c r="Q26" s="79">
        <f t="shared" si="2"/>
        <v>2.7519880715705765</v>
      </c>
      <c r="R26" s="79"/>
      <c r="S26" s="79"/>
      <c r="T26" s="79"/>
      <c r="U26" s="79"/>
      <c r="V26" s="79"/>
      <c r="W26" s="79"/>
      <c r="AN26" s="75" t="s">
        <v>7</v>
      </c>
      <c r="AO26" s="75">
        <f>37/10</f>
        <v>3.7</v>
      </c>
      <c r="AP26" s="75">
        <f>0.014/10</f>
        <v>0.0014</v>
      </c>
      <c r="AQ26" s="75" t="s">
        <v>7</v>
      </c>
      <c r="AR26" s="75">
        <f>0.092/10</f>
        <v>0.0092</v>
      </c>
      <c r="AS26" s="75">
        <f>110/10</f>
        <v>11</v>
      </c>
      <c r="AT26" s="75" t="s">
        <v>7</v>
      </c>
      <c r="AU26" s="75">
        <f>0.015/10</f>
        <v>0.0015</v>
      </c>
      <c r="AV26" s="75">
        <f>240/10</f>
        <v>24</v>
      </c>
      <c r="AW26" s="75" t="s">
        <v>7</v>
      </c>
      <c r="AX26" s="75">
        <f>44/10</f>
        <v>4.4</v>
      </c>
      <c r="AY26" s="75" t="s">
        <v>243</v>
      </c>
      <c r="AZ26" s="75" t="s">
        <v>7</v>
      </c>
      <c r="BA26" s="75" t="s">
        <v>7</v>
      </c>
      <c r="BB26" s="75" t="s">
        <v>245</v>
      </c>
      <c r="BC26" s="75">
        <v>1.7</v>
      </c>
    </row>
    <row r="27" spans="1:55" ht="15">
      <c r="A27" s="73" t="s">
        <v>250</v>
      </c>
      <c r="B27" s="74" t="s">
        <v>206</v>
      </c>
      <c r="P27" s="75">
        <v>3.6</v>
      </c>
      <c r="Q27" s="79">
        <f t="shared" si="2"/>
        <v>2.830616302186879</v>
      </c>
      <c r="R27" s="79"/>
      <c r="S27" s="79"/>
      <c r="T27" s="79"/>
      <c r="U27" s="79"/>
      <c r="V27" s="79"/>
      <c r="W27" s="79"/>
      <c r="AN27" s="75" t="s">
        <v>7</v>
      </c>
      <c r="AO27" s="75">
        <f>46/10</f>
        <v>4.6</v>
      </c>
      <c r="AP27" s="75">
        <f>0.022/10</f>
        <v>0.0021999999999999997</v>
      </c>
      <c r="AQ27" s="75" t="s">
        <v>7</v>
      </c>
      <c r="AR27" s="75">
        <f>0.081/10</f>
        <v>0.0081</v>
      </c>
      <c r="AS27" s="75">
        <f>150/10</f>
        <v>15</v>
      </c>
      <c r="AT27" s="75" t="s">
        <v>7</v>
      </c>
      <c r="AU27" s="75">
        <f>0.029/10</f>
        <v>0.0029000000000000002</v>
      </c>
      <c r="AV27" s="75">
        <f>320/10</f>
        <v>32</v>
      </c>
      <c r="AW27" s="75" t="s">
        <v>7</v>
      </c>
      <c r="AX27" s="75">
        <f>59/10</f>
        <v>5.9</v>
      </c>
      <c r="AY27" s="75" t="s">
        <v>243</v>
      </c>
      <c r="AZ27" s="75" t="s">
        <v>7</v>
      </c>
      <c r="BA27" s="75" t="s">
        <v>7</v>
      </c>
      <c r="BB27" s="75" t="s">
        <v>245</v>
      </c>
      <c r="BC27" s="75">
        <v>2.1</v>
      </c>
    </row>
    <row r="28" spans="1:55" ht="15">
      <c r="A28" s="73" t="s">
        <v>250</v>
      </c>
      <c r="B28" s="74" t="s">
        <v>132</v>
      </c>
      <c r="P28" s="75">
        <v>3.5</v>
      </c>
      <c r="Q28" s="79">
        <f t="shared" si="2"/>
        <v>2.7519880715705765</v>
      </c>
      <c r="R28" s="79"/>
      <c r="S28" s="79"/>
      <c r="T28" s="79"/>
      <c r="U28" s="79"/>
      <c r="V28" s="79"/>
      <c r="W28" s="79"/>
      <c r="AN28" s="75" t="s">
        <v>7</v>
      </c>
      <c r="AO28" s="75">
        <f>48/10</f>
        <v>4.8</v>
      </c>
      <c r="AP28" s="75">
        <f>0.019/10</f>
        <v>0.0019</v>
      </c>
      <c r="AQ28" s="75" t="s">
        <v>7</v>
      </c>
      <c r="AR28" s="75">
        <f>0.083/10</f>
        <v>0.0083</v>
      </c>
      <c r="AS28" s="75">
        <f>130/10</f>
        <v>13</v>
      </c>
      <c r="AT28" s="75" t="s">
        <v>7</v>
      </c>
      <c r="AU28" s="75">
        <f>0.013/10</f>
        <v>0.0013</v>
      </c>
      <c r="AV28" s="75">
        <f>300/10</f>
        <v>30</v>
      </c>
      <c r="AW28" s="75" t="s">
        <v>7</v>
      </c>
      <c r="AX28" s="75">
        <f>56/10</f>
        <v>5.6</v>
      </c>
      <c r="AY28" s="75" t="s">
        <v>243</v>
      </c>
      <c r="AZ28" s="75" t="s">
        <v>7</v>
      </c>
      <c r="BA28" s="75" t="s">
        <v>7</v>
      </c>
      <c r="BB28" s="75" t="s">
        <v>245</v>
      </c>
      <c r="BC28" s="75">
        <v>2.3</v>
      </c>
    </row>
    <row r="29" spans="1:55" ht="15">
      <c r="A29" s="73" t="s">
        <v>250</v>
      </c>
      <c r="B29" s="74" t="s">
        <v>247</v>
      </c>
      <c r="P29" s="75">
        <v>4</v>
      </c>
      <c r="Q29" s="79">
        <f t="shared" si="2"/>
        <v>3.1451292246520874</v>
      </c>
      <c r="R29" s="79"/>
      <c r="S29" s="79"/>
      <c r="T29" s="79"/>
      <c r="U29" s="79"/>
      <c r="V29" s="79"/>
      <c r="W29" s="79"/>
      <c r="AN29" s="75" t="s">
        <v>7</v>
      </c>
      <c r="AO29" s="75">
        <f>46/10</f>
        <v>4.6</v>
      </c>
      <c r="AP29" s="75">
        <f>0.021/10</f>
        <v>0.0021000000000000003</v>
      </c>
      <c r="AQ29" s="75" t="s">
        <v>7</v>
      </c>
      <c r="AR29" s="75">
        <f>0.12/10</f>
        <v>0.012</v>
      </c>
      <c r="AS29" s="75">
        <f>110/10</f>
        <v>11</v>
      </c>
      <c r="AT29" s="75" t="s">
        <v>7</v>
      </c>
      <c r="AU29" s="75" t="s">
        <v>125</v>
      </c>
      <c r="AV29" s="75">
        <f>340/10</f>
        <v>34</v>
      </c>
      <c r="AW29" s="75" t="s">
        <v>7</v>
      </c>
      <c r="AX29" s="75">
        <f>54/10</f>
        <v>5.4</v>
      </c>
      <c r="AY29" s="75" t="s">
        <v>243</v>
      </c>
      <c r="AZ29" s="75" t="s">
        <v>7</v>
      </c>
      <c r="BA29" s="75" t="s">
        <v>7</v>
      </c>
      <c r="BB29" s="75" t="s">
        <v>245</v>
      </c>
      <c r="BC29" s="75">
        <v>3.1</v>
      </c>
    </row>
    <row r="30" spans="1:55" ht="15">
      <c r="A30" s="73" t="s">
        <v>250</v>
      </c>
      <c r="B30" s="74" t="s">
        <v>207</v>
      </c>
      <c r="P30" s="75">
        <v>4.6</v>
      </c>
      <c r="Q30" s="79">
        <f t="shared" si="2"/>
        <v>3.6168986083499006</v>
      </c>
      <c r="R30" s="79"/>
      <c r="S30" s="79"/>
      <c r="T30" s="79"/>
      <c r="U30" s="79"/>
      <c r="V30" s="79"/>
      <c r="W30" s="79"/>
      <c r="AN30" s="75" t="s">
        <v>7</v>
      </c>
      <c r="AO30" s="75">
        <f>14/10</f>
        <v>1.4</v>
      </c>
      <c r="AP30" s="75">
        <f>0.035/10</f>
        <v>0.0035000000000000005</v>
      </c>
      <c r="AQ30" s="75" t="s">
        <v>7</v>
      </c>
      <c r="AR30" s="75">
        <f>0.054/10</f>
        <v>0.0054</v>
      </c>
      <c r="AS30" s="75">
        <f>150/10</f>
        <v>15</v>
      </c>
      <c r="AT30" s="75" t="s">
        <v>7</v>
      </c>
      <c r="AU30" s="75" t="s">
        <v>125</v>
      </c>
      <c r="AV30" s="75">
        <f>430/10</f>
        <v>43</v>
      </c>
      <c r="AW30" s="75" t="s">
        <v>7</v>
      </c>
      <c r="AX30" s="75">
        <f>64/10</f>
        <v>6.4</v>
      </c>
      <c r="AY30" s="75" t="s">
        <v>243</v>
      </c>
      <c r="AZ30" s="75" t="s">
        <v>7</v>
      </c>
      <c r="BA30" s="75" t="s">
        <v>7</v>
      </c>
      <c r="BB30" s="75" t="s">
        <v>245</v>
      </c>
      <c r="BC30" s="75">
        <v>2.5</v>
      </c>
    </row>
    <row r="31" spans="1:55" ht="15">
      <c r="A31" s="73" t="s">
        <v>250</v>
      </c>
      <c r="B31" s="74" t="s">
        <v>208</v>
      </c>
      <c r="P31" s="75">
        <v>4.5</v>
      </c>
      <c r="Q31" s="79">
        <f t="shared" si="2"/>
        <v>3.538270377733599</v>
      </c>
      <c r="R31" s="79"/>
      <c r="S31" s="79"/>
      <c r="T31" s="79"/>
      <c r="U31" s="79"/>
      <c r="V31" s="79"/>
      <c r="W31" s="79"/>
      <c r="AN31" s="75" t="s">
        <v>7</v>
      </c>
      <c r="AO31" s="75">
        <f>50/10</f>
        <v>5</v>
      </c>
      <c r="AP31" s="75">
        <f>0.023/10</f>
        <v>0.0023</v>
      </c>
      <c r="AQ31" s="75" t="s">
        <v>7</v>
      </c>
      <c r="AR31" s="75">
        <f>0.13/10</f>
        <v>0.013000000000000001</v>
      </c>
      <c r="AS31" s="75">
        <f>180/10</f>
        <v>18</v>
      </c>
      <c r="AT31" s="75" t="s">
        <v>7</v>
      </c>
      <c r="AU31" s="75">
        <f>0.032/10</f>
        <v>0.0032</v>
      </c>
      <c r="AV31" s="75">
        <f>340/10</f>
        <v>34</v>
      </c>
      <c r="AW31" s="75" t="s">
        <v>7</v>
      </c>
      <c r="AX31" s="75">
        <f>75/10</f>
        <v>7.5</v>
      </c>
      <c r="AY31" s="75" t="s">
        <v>243</v>
      </c>
      <c r="AZ31" s="75" t="s">
        <v>7</v>
      </c>
      <c r="BA31" s="75" t="s">
        <v>7</v>
      </c>
      <c r="BB31" s="75" t="s">
        <v>245</v>
      </c>
      <c r="BC31" s="75">
        <v>2.1</v>
      </c>
    </row>
    <row r="32" spans="1:39" ht="15">
      <c r="A32" s="73" t="s">
        <v>251</v>
      </c>
      <c r="B32" s="74" t="s">
        <v>2</v>
      </c>
      <c r="C32" s="75">
        <v>1.008</v>
      </c>
      <c r="D32" s="75">
        <v>94.5</v>
      </c>
      <c r="E32" s="75" t="s">
        <v>3</v>
      </c>
      <c r="F32" s="75">
        <v>0.2</v>
      </c>
      <c r="G32" s="75" t="s">
        <v>243</v>
      </c>
      <c r="H32" s="75" t="s">
        <v>243</v>
      </c>
      <c r="I32" s="75" t="s">
        <v>243</v>
      </c>
      <c r="J32" s="75">
        <v>0.02</v>
      </c>
      <c r="K32" s="75" t="s">
        <v>243</v>
      </c>
      <c r="L32" s="75" t="s">
        <v>7</v>
      </c>
      <c r="M32" s="75">
        <v>0.03</v>
      </c>
      <c r="N32" s="77">
        <v>0.2</v>
      </c>
      <c r="O32" s="75" t="s">
        <v>5</v>
      </c>
      <c r="R32" s="78">
        <v>0.01016064</v>
      </c>
      <c r="S32" s="78">
        <v>0.02032128</v>
      </c>
      <c r="T32" s="78">
        <v>0.04064256</v>
      </c>
      <c r="U32" s="78">
        <v>0.037594367999999996</v>
      </c>
      <c r="V32" s="78" t="s">
        <v>244</v>
      </c>
      <c r="W32" s="78">
        <v>0.004064256</v>
      </c>
      <c r="AA32" s="75" t="s">
        <v>6</v>
      </c>
      <c r="AC32" s="75" t="s">
        <v>7</v>
      </c>
      <c r="AG32" s="75" t="s">
        <v>8</v>
      </c>
      <c r="AM32" s="75" t="s">
        <v>7</v>
      </c>
    </row>
    <row r="33" spans="1:55" ht="15">
      <c r="A33" s="73" t="s">
        <v>251</v>
      </c>
      <c r="B33" s="74" t="s">
        <v>204</v>
      </c>
      <c r="P33" s="75">
        <v>2.6</v>
      </c>
      <c r="Q33" s="79">
        <f>(P33*0.791)/$C$32</f>
        <v>2.040277777777778</v>
      </c>
      <c r="R33" s="79"/>
      <c r="S33" s="79"/>
      <c r="T33" s="79"/>
      <c r="U33" s="79"/>
      <c r="V33" s="79"/>
      <c r="W33" s="79"/>
      <c r="AN33" s="75" t="s">
        <v>7</v>
      </c>
      <c r="AO33" s="75">
        <f>29/10</f>
        <v>2.9</v>
      </c>
      <c r="AP33" s="78">
        <f>0.01/10</f>
        <v>0.001</v>
      </c>
      <c r="AQ33" s="75" t="s">
        <v>7</v>
      </c>
      <c r="AR33" s="75">
        <f>0.032/10</f>
        <v>0.0032</v>
      </c>
      <c r="AS33" s="75">
        <f>81/10</f>
        <v>8.1</v>
      </c>
      <c r="AT33" s="75" t="s">
        <v>7</v>
      </c>
      <c r="AU33" s="75" t="s">
        <v>125</v>
      </c>
      <c r="AV33" s="75">
        <f>250/10</f>
        <v>25</v>
      </c>
      <c r="AW33" s="75" t="s">
        <v>7</v>
      </c>
      <c r="AX33" s="75">
        <f>33/10</f>
        <v>3.3</v>
      </c>
      <c r="AY33" s="75" t="s">
        <v>243</v>
      </c>
      <c r="AZ33" s="75" t="s">
        <v>7</v>
      </c>
      <c r="BA33" s="75" t="s">
        <v>7</v>
      </c>
      <c r="BB33" s="75" t="s">
        <v>245</v>
      </c>
      <c r="BC33" s="75">
        <v>7.1</v>
      </c>
    </row>
    <row r="34" spans="1:55" ht="15">
      <c r="A34" s="73" t="s">
        <v>251</v>
      </c>
      <c r="B34" s="74" t="s">
        <v>129</v>
      </c>
      <c r="P34" s="75">
        <v>2.6</v>
      </c>
      <c r="Q34" s="79">
        <f aca="true" t="shared" si="3" ref="Q34:Q39">(P34*0.791)/$C$32</f>
        <v>2.040277777777778</v>
      </c>
      <c r="R34" s="79"/>
      <c r="S34" s="79"/>
      <c r="T34" s="79"/>
      <c r="U34" s="79"/>
      <c r="V34" s="79"/>
      <c r="W34" s="79"/>
      <c r="AN34" s="75" t="s">
        <v>7</v>
      </c>
      <c r="AO34" s="75">
        <f>36/10</f>
        <v>3.6</v>
      </c>
      <c r="AP34" s="75">
        <f>0.023/10</f>
        <v>0.0023</v>
      </c>
      <c r="AQ34" s="75" t="s">
        <v>7</v>
      </c>
      <c r="AR34" s="80">
        <f>0.1/10</f>
        <v>0.01</v>
      </c>
      <c r="AS34" s="75">
        <f>91/10</f>
        <v>9.1</v>
      </c>
      <c r="AT34" s="75" t="s">
        <v>7</v>
      </c>
      <c r="AU34" s="75" t="s">
        <v>125</v>
      </c>
      <c r="AV34" s="75">
        <f>290/10</f>
        <v>29</v>
      </c>
      <c r="AW34" s="75" t="s">
        <v>7</v>
      </c>
      <c r="AX34" s="75">
        <f>53/10</f>
        <v>5.3</v>
      </c>
      <c r="AY34" s="75" t="s">
        <v>243</v>
      </c>
      <c r="AZ34" s="75" t="s">
        <v>7</v>
      </c>
      <c r="BA34" s="75" t="s">
        <v>7</v>
      </c>
      <c r="BB34" s="75" t="s">
        <v>245</v>
      </c>
      <c r="BC34" s="75">
        <v>1.5</v>
      </c>
    </row>
    <row r="35" spans="1:55" ht="15">
      <c r="A35" s="73" t="s">
        <v>251</v>
      </c>
      <c r="B35" s="74" t="s">
        <v>246</v>
      </c>
      <c r="P35" s="75">
        <v>2.8</v>
      </c>
      <c r="Q35" s="79">
        <f t="shared" si="3"/>
        <v>2.197222222222222</v>
      </c>
      <c r="R35" s="79"/>
      <c r="S35" s="79"/>
      <c r="T35" s="79"/>
      <c r="U35" s="79"/>
      <c r="V35" s="79"/>
      <c r="W35" s="79"/>
      <c r="AN35" s="75" t="s">
        <v>7</v>
      </c>
      <c r="AO35" s="75">
        <f>29/10</f>
        <v>2.9</v>
      </c>
      <c r="AP35" s="75">
        <f>0.012/10</f>
        <v>0.0012000000000000001</v>
      </c>
      <c r="AQ35" s="75" t="s">
        <v>7</v>
      </c>
      <c r="AR35" s="75">
        <f>0.041/10</f>
        <v>0.0041</v>
      </c>
      <c r="AS35" s="75">
        <f>140/10</f>
        <v>14</v>
      </c>
      <c r="AT35" s="75" t="s">
        <v>7</v>
      </c>
      <c r="AU35" s="75">
        <f>0.062/10</f>
        <v>0.0062</v>
      </c>
      <c r="AV35" s="75">
        <f>310/10</f>
        <v>31</v>
      </c>
      <c r="AW35" s="75" t="s">
        <v>7</v>
      </c>
      <c r="AX35" s="75">
        <f>53/10</f>
        <v>5.3</v>
      </c>
      <c r="AY35" s="75" t="s">
        <v>243</v>
      </c>
      <c r="AZ35" s="75" t="s">
        <v>7</v>
      </c>
      <c r="BA35" s="75" t="s">
        <v>7</v>
      </c>
      <c r="BB35" s="75" t="s">
        <v>245</v>
      </c>
      <c r="BC35" s="75">
        <v>2.8</v>
      </c>
    </row>
    <row r="36" spans="1:55" ht="15">
      <c r="A36" s="73" t="s">
        <v>251</v>
      </c>
      <c r="B36" s="74" t="s">
        <v>206</v>
      </c>
      <c r="P36" s="75">
        <v>3</v>
      </c>
      <c r="Q36" s="79">
        <f t="shared" si="3"/>
        <v>2.354166666666667</v>
      </c>
      <c r="R36" s="79"/>
      <c r="S36" s="79"/>
      <c r="T36" s="79"/>
      <c r="U36" s="79"/>
      <c r="V36" s="79"/>
      <c r="W36" s="79"/>
      <c r="AN36" s="75" t="s">
        <v>7</v>
      </c>
      <c r="AO36" s="75">
        <f>33/10</f>
        <v>3.3</v>
      </c>
      <c r="AP36" s="75">
        <f>0.016/10</f>
        <v>0.0016</v>
      </c>
      <c r="AQ36" s="75" t="s">
        <v>7</v>
      </c>
      <c r="AR36" s="75">
        <f>0.044/10</f>
        <v>0.004399999999999999</v>
      </c>
      <c r="AS36" s="75">
        <f>130/10</f>
        <v>13</v>
      </c>
      <c r="AT36" s="75" t="s">
        <v>7</v>
      </c>
      <c r="AU36" s="75" t="s">
        <v>125</v>
      </c>
      <c r="AV36" s="75">
        <f>310/10</f>
        <v>31</v>
      </c>
      <c r="AW36" s="75" t="s">
        <v>7</v>
      </c>
      <c r="AX36" s="75">
        <f>58/10</f>
        <v>5.8</v>
      </c>
      <c r="AY36" s="75" t="s">
        <v>243</v>
      </c>
      <c r="AZ36" s="75" t="s">
        <v>7</v>
      </c>
      <c r="BA36" s="75" t="s">
        <v>7</v>
      </c>
      <c r="BB36" s="75" t="s">
        <v>245</v>
      </c>
      <c r="BC36" s="75">
        <v>2.3</v>
      </c>
    </row>
    <row r="37" spans="1:55" ht="15">
      <c r="A37" s="73" t="s">
        <v>251</v>
      </c>
      <c r="B37" s="74" t="s">
        <v>132</v>
      </c>
      <c r="P37" s="75">
        <v>2.6</v>
      </c>
      <c r="Q37" s="79">
        <f t="shared" si="3"/>
        <v>2.040277777777778</v>
      </c>
      <c r="R37" s="79"/>
      <c r="S37" s="79"/>
      <c r="T37" s="79"/>
      <c r="U37" s="79"/>
      <c r="V37" s="79"/>
      <c r="W37" s="79"/>
      <c r="AN37" s="75" t="s">
        <v>7</v>
      </c>
      <c r="AO37" s="75">
        <f>33/10</f>
        <v>3.3</v>
      </c>
      <c r="AP37" s="78">
        <f>0.02/10</f>
        <v>0.002</v>
      </c>
      <c r="AQ37" s="75" t="s">
        <v>7</v>
      </c>
      <c r="AR37" s="75">
        <f>0.11/10</f>
        <v>0.011</v>
      </c>
      <c r="AS37" s="75">
        <f>130/10</f>
        <v>13</v>
      </c>
      <c r="AT37" s="75" t="s">
        <v>7</v>
      </c>
      <c r="AU37" s="75">
        <f>0.014/10</f>
        <v>0.0014</v>
      </c>
      <c r="AV37" s="75">
        <f>300/10</f>
        <v>30</v>
      </c>
      <c r="AW37" s="75" t="s">
        <v>7</v>
      </c>
      <c r="AX37" s="75">
        <f>76/10</f>
        <v>7.6</v>
      </c>
      <c r="AY37" s="75" t="s">
        <v>243</v>
      </c>
      <c r="AZ37" s="75" t="s">
        <v>7</v>
      </c>
      <c r="BA37" s="75" t="s">
        <v>7</v>
      </c>
      <c r="BB37" s="75" t="s">
        <v>245</v>
      </c>
      <c r="BC37" s="75">
        <v>2.3</v>
      </c>
    </row>
    <row r="38" spans="1:55" ht="15">
      <c r="A38" s="73" t="s">
        <v>251</v>
      </c>
      <c r="B38" s="74" t="s">
        <v>247</v>
      </c>
      <c r="P38" s="75">
        <v>2.7</v>
      </c>
      <c r="Q38" s="79">
        <f t="shared" si="3"/>
        <v>2.1187500000000004</v>
      </c>
      <c r="R38" s="79"/>
      <c r="S38" s="79"/>
      <c r="T38" s="79"/>
      <c r="U38" s="79"/>
      <c r="V38" s="79"/>
      <c r="W38" s="79"/>
      <c r="AN38" s="75" t="s">
        <v>7</v>
      </c>
      <c r="AO38" s="75">
        <f>24/10</f>
        <v>2.4</v>
      </c>
      <c r="AP38" s="75">
        <f>0.018/10</f>
        <v>0.0018</v>
      </c>
      <c r="AQ38" s="75" t="s">
        <v>7</v>
      </c>
      <c r="AR38" s="75">
        <f>0.096/10</f>
        <v>0.009600000000000001</v>
      </c>
      <c r="AS38" s="75">
        <f>130/10</f>
        <v>13</v>
      </c>
      <c r="AT38" s="75" t="s">
        <v>7</v>
      </c>
      <c r="AU38" s="78">
        <f>0.04/10</f>
        <v>0.004</v>
      </c>
      <c r="AV38" s="75">
        <f>270/10</f>
        <v>27</v>
      </c>
      <c r="AW38" s="75" t="s">
        <v>7</v>
      </c>
      <c r="AX38" s="75">
        <f>46/10</f>
        <v>4.6</v>
      </c>
      <c r="AY38" s="80">
        <f>0.1/10</f>
        <v>0.01</v>
      </c>
      <c r="AZ38" s="75" t="s">
        <v>7</v>
      </c>
      <c r="BA38" s="75" t="s">
        <v>7</v>
      </c>
      <c r="BB38" s="75" t="s">
        <v>245</v>
      </c>
      <c r="BC38" s="75">
        <v>1.4</v>
      </c>
    </row>
    <row r="39" spans="1:55" ht="15">
      <c r="A39" s="73" t="s">
        <v>251</v>
      </c>
      <c r="B39" s="74" t="s">
        <v>207</v>
      </c>
      <c r="P39" s="75">
        <v>2.2</v>
      </c>
      <c r="Q39" s="79">
        <f t="shared" si="3"/>
        <v>1.726388888888889</v>
      </c>
      <c r="R39" s="79"/>
      <c r="S39" s="79"/>
      <c r="T39" s="79"/>
      <c r="U39" s="79"/>
      <c r="V39" s="79"/>
      <c r="W39" s="79"/>
      <c r="AN39" s="75" t="s">
        <v>7</v>
      </c>
      <c r="AO39" s="75">
        <f>20/10</f>
        <v>2</v>
      </c>
      <c r="AP39" s="75" t="s">
        <v>125</v>
      </c>
      <c r="AQ39" s="75" t="s">
        <v>7</v>
      </c>
      <c r="AR39" s="75">
        <f>0.032/10</f>
        <v>0.0032</v>
      </c>
      <c r="AS39" s="75">
        <f>130/10</f>
        <v>13</v>
      </c>
      <c r="AT39" s="75" t="s">
        <v>7</v>
      </c>
      <c r="AU39" s="75">
        <f>0.013/10</f>
        <v>0.0013</v>
      </c>
      <c r="AV39" s="75">
        <f>180/10</f>
        <v>18</v>
      </c>
      <c r="AW39" s="75" t="s">
        <v>7</v>
      </c>
      <c r="AX39" s="75">
        <f>29/10</f>
        <v>2.9</v>
      </c>
      <c r="AY39" s="75" t="s">
        <v>243</v>
      </c>
      <c r="AZ39" s="75" t="s">
        <v>7</v>
      </c>
      <c r="BA39" s="75" t="s">
        <v>7</v>
      </c>
      <c r="BB39" s="75" t="s">
        <v>245</v>
      </c>
      <c r="BC39" s="75">
        <v>5.3</v>
      </c>
    </row>
    <row r="40" spans="1:39" ht="15">
      <c r="A40" s="73" t="s">
        <v>252</v>
      </c>
      <c r="B40" s="74" t="s">
        <v>2</v>
      </c>
      <c r="C40" s="75">
        <v>1</v>
      </c>
      <c r="D40" s="75">
        <v>94.8</v>
      </c>
      <c r="E40" s="75" t="s">
        <v>3</v>
      </c>
      <c r="F40" s="75">
        <v>0.3</v>
      </c>
      <c r="G40" s="75" t="s">
        <v>243</v>
      </c>
      <c r="H40" s="75" t="s">
        <v>243</v>
      </c>
      <c r="I40" s="75" t="s">
        <v>243</v>
      </c>
      <c r="J40" s="75">
        <v>0.03</v>
      </c>
      <c r="K40" s="75" t="s">
        <v>243</v>
      </c>
      <c r="L40" s="75" t="s">
        <v>7</v>
      </c>
      <c r="M40" s="75">
        <v>0.01</v>
      </c>
      <c r="N40" s="77">
        <v>0.2</v>
      </c>
      <c r="O40" s="75" t="s">
        <v>5</v>
      </c>
      <c r="Q40" s="79"/>
      <c r="R40" s="78">
        <v>0.01</v>
      </c>
      <c r="S40" s="78">
        <v>0.02</v>
      </c>
      <c r="T40" s="78">
        <v>0.03</v>
      </c>
      <c r="U40" s="78">
        <v>0.032</v>
      </c>
      <c r="V40" s="78" t="s">
        <v>244</v>
      </c>
      <c r="W40" s="78">
        <v>0.011</v>
      </c>
      <c r="AA40" s="75" t="s">
        <v>6</v>
      </c>
      <c r="AC40" s="75" t="s">
        <v>7</v>
      </c>
      <c r="AG40" s="75" t="s">
        <v>8</v>
      </c>
      <c r="AM40" s="75" t="s">
        <v>7</v>
      </c>
    </row>
    <row r="41" spans="1:55" ht="15">
      <c r="A41" s="73" t="s">
        <v>252</v>
      </c>
      <c r="B41" s="74" t="s">
        <v>204</v>
      </c>
      <c r="P41" s="75">
        <v>4.5</v>
      </c>
      <c r="Q41" s="79">
        <f>(P41*0.791)/$C$40</f>
        <v>3.5595000000000003</v>
      </c>
      <c r="R41" s="79"/>
      <c r="S41" s="79"/>
      <c r="T41" s="79"/>
      <c r="U41" s="79"/>
      <c r="V41" s="79"/>
      <c r="W41" s="79"/>
      <c r="AN41" s="75" t="s">
        <v>7</v>
      </c>
      <c r="AO41" s="75">
        <f>33/10</f>
        <v>3.3</v>
      </c>
      <c r="AP41" s="75" t="s">
        <v>125</v>
      </c>
      <c r="AQ41" s="75" t="s">
        <v>7</v>
      </c>
      <c r="AR41" s="80">
        <f>0.1/10</f>
        <v>0.01</v>
      </c>
      <c r="AS41" s="75">
        <f>150/10</f>
        <v>15</v>
      </c>
      <c r="AT41" s="75" t="s">
        <v>7</v>
      </c>
      <c r="AU41" s="75">
        <f>0.012/10</f>
        <v>0.0012000000000000001</v>
      </c>
      <c r="AV41" s="75">
        <f>260/10</f>
        <v>26</v>
      </c>
      <c r="AW41" s="75" t="s">
        <v>7</v>
      </c>
      <c r="AX41" s="75">
        <f>51/10</f>
        <v>5.1</v>
      </c>
      <c r="AY41" s="75" t="s">
        <v>243</v>
      </c>
      <c r="AZ41" s="75" t="s">
        <v>7</v>
      </c>
      <c r="BA41" s="75" t="s">
        <v>7</v>
      </c>
      <c r="BB41" s="75" t="s">
        <v>245</v>
      </c>
      <c r="BC41" s="75">
        <v>1.5</v>
      </c>
    </row>
    <row r="42" spans="1:55" ht="15">
      <c r="A42" s="73" t="s">
        <v>252</v>
      </c>
      <c r="B42" s="74" t="s">
        <v>129</v>
      </c>
      <c r="P42" s="75">
        <v>4.5</v>
      </c>
      <c r="Q42" s="79">
        <f aca="true" t="shared" si="4" ref="Q42:Q48">(P42*0.791)/$C$40</f>
        <v>3.5595000000000003</v>
      </c>
      <c r="R42" s="79"/>
      <c r="S42" s="79"/>
      <c r="T42" s="79"/>
      <c r="U42" s="79"/>
      <c r="V42" s="79"/>
      <c r="W42" s="79"/>
      <c r="AN42" s="75" t="s">
        <v>7</v>
      </c>
      <c r="AO42" s="75">
        <f>51/10</f>
        <v>5.1</v>
      </c>
      <c r="AP42" s="75">
        <f>0.013/10</f>
        <v>0.0013</v>
      </c>
      <c r="AQ42" s="75" t="s">
        <v>7</v>
      </c>
      <c r="AR42" s="75">
        <f>0.036/10</f>
        <v>0.0036</v>
      </c>
      <c r="AS42" s="75">
        <f>93/10</f>
        <v>9.3</v>
      </c>
      <c r="AT42" s="75" t="s">
        <v>7</v>
      </c>
      <c r="AU42" s="75" t="s">
        <v>125</v>
      </c>
      <c r="AV42" s="75">
        <f>290/10</f>
        <v>29</v>
      </c>
      <c r="AW42" s="75" t="s">
        <v>7</v>
      </c>
      <c r="AX42" s="75">
        <f>38/10</f>
        <v>3.8</v>
      </c>
      <c r="AY42" s="75" t="s">
        <v>243</v>
      </c>
      <c r="AZ42" s="75" t="s">
        <v>7</v>
      </c>
      <c r="BA42" s="75" t="s">
        <v>7</v>
      </c>
      <c r="BB42" s="75" t="s">
        <v>245</v>
      </c>
      <c r="BC42" s="75">
        <v>4.4</v>
      </c>
    </row>
    <row r="43" spans="1:55" ht="15">
      <c r="A43" s="73" t="s">
        <v>252</v>
      </c>
      <c r="B43" s="74" t="s">
        <v>246</v>
      </c>
      <c r="P43" s="75">
        <v>4.6</v>
      </c>
      <c r="Q43" s="79">
        <f t="shared" si="4"/>
        <v>3.6386</v>
      </c>
      <c r="R43" s="79"/>
      <c r="S43" s="79"/>
      <c r="T43" s="79"/>
      <c r="U43" s="79"/>
      <c r="V43" s="79"/>
      <c r="W43" s="79"/>
      <c r="AN43" s="75" t="s">
        <v>7</v>
      </c>
      <c r="AO43" s="75">
        <f>20/10</f>
        <v>2</v>
      </c>
      <c r="AP43" s="75" t="s">
        <v>125</v>
      </c>
      <c r="AQ43" s="75" t="s">
        <v>7</v>
      </c>
      <c r="AR43" s="75">
        <f>0.068/10</f>
        <v>0.0068000000000000005</v>
      </c>
      <c r="AS43" s="75">
        <f>92/10</f>
        <v>9.2</v>
      </c>
      <c r="AT43" s="75" t="s">
        <v>7</v>
      </c>
      <c r="AU43" s="75" t="s">
        <v>125</v>
      </c>
      <c r="AV43" s="75">
        <f>220/10</f>
        <v>22</v>
      </c>
      <c r="AW43" s="75" t="s">
        <v>7</v>
      </c>
      <c r="AX43" s="75">
        <f>38/10</f>
        <v>3.8</v>
      </c>
      <c r="AY43" s="75" t="s">
        <v>243</v>
      </c>
      <c r="AZ43" s="75" t="s">
        <v>7</v>
      </c>
      <c r="BA43" s="75" t="s">
        <v>7</v>
      </c>
      <c r="BB43" s="75" t="s">
        <v>245</v>
      </c>
      <c r="BC43" s="75">
        <v>6.8</v>
      </c>
    </row>
    <row r="44" spans="1:55" ht="15">
      <c r="A44" s="73" t="s">
        <v>252</v>
      </c>
      <c r="B44" s="74" t="s">
        <v>206</v>
      </c>
      <c r="P44" s="75">
        <v>4.5</v>
      </c>
      <c r="Q44" s="79">
        <f t="shared" si="4"/>
        <v>3.5595000000000003</v>
      </c>
      <c r="R44" s="79"/>
      <c r="S44" s="79"/>
      <c r="T44" s="79"/>
      <c r="U44" s="79"/>
      <c r="V44" s="79"/>
      <c r="W44" s="79"/>
      <c r="AN44" s="75" t="s">
        <v>7</v>
      </c>
      <c r="AO44" s="75">
        <f>17/10</f>
        <v>1.7</v>
      </c>
      <c r="AP44" s="75">
        <f>0.018/10</f>
        <v>0.0018</v>
      </c>
      <c r="AQ44" s="75" t="s">
        <v>7</v>
      </c>
      <c r="AR44" s="75">
        <f>0.14/10</f>
        <v>0.014000000000000002</v>
      </c>
      <c r="AS44" s="75">
        <f>240/10</f>
        <v>24</v>
      </c>
      <c r="AT44" s="75" t="s">
        <v>7</v>
      </c>
      <c r="AU44" s="75">
        <f>0.15/10</f>
        <v>0.015</v>
      </c>
      <c r="AV44" s="75">
        <f>320/10</f>
        <v>32</v>
      </c>
      <c r="AW44" s="75" t="s">
        <v>7</v>
      </c>
      <c r="AX44" s="75">
        <f>66/10</f>
        <v>6.6</v>
      </c>
      <c r="AY44" s="75">
        <f>0.19/10</f>
        <v>0.019</v>
      </c>
      <c r="AZ44" s="75" t="s">
        <v>7</v>
      </c>
      <c r="BA44" s="75" t="s">
        <v>7</v>
      </c>
      <c r="BB44" s="80">
        <f>0.1/10*1000</f>
        <v>10</v>
      </c>
      <c r="BC44" s="75">
        <v>5.3</v>
      </c>
    </row>
    <row r="45" spans="1:55" ht="15">
      <c r="A45" s="73" t="s">
        <v>252</v>
      </c>
      <c r="B45" s="74" t="s">
        <v>132</v>
      </c>
      <c r="P45" s="75">
        <v>4.6</v>
      </c>
      <c r="Q45" s="79">
        <f t="shared" si="4"/>
        <v>3.6386</v>
      </c>
      <c r="R45" s="79"/>
      <c r="S45" s="79"/>
      <c r="T45" s="79"/>
      <c r="U45" s="79"/>
      <c r="V45" s="79"/>
      <c r="W45" s="79"/>
      <c r="AN45" s="75" t="s">
        <v>7</v>
      </c>
      <c r="AO45" s="75">
        <f>22/10</f>
        <v>2.2</v>
      </c>
      <c r="AP45" s="75" t="s">
        <v>125</v>
      </c>
      <c r="AQ45" s="75" t="s">
        <v>7</v>
      </c>
      <c r="AR45" s="75">
        <f>0.071/10</f>
        <v>0.0070999999999999995</v>
      </c>
      <c r="AS45" s="75">
        <f>170/10</f>
        <v>17</v>
      </c>
      <c r="AT45" s="75" t="s">
        <v>7</v>
      </c>
      <c r="AU45" s="75">
        <f>0.034/10</f>
        <v>0.0034000000000000002</v>
      </c>
      <c r="AV45" s="75">
        <f>270/10</f>
        <v>27</v>
      </c>
      <c r="AW45" s="75" t="s">
        <v>7</v>
      </c>
      <c r="AX45" s="75">
        <f>54/10</f>
        <v>5.4</v>
      </c>
      <c r="AY45" s="75">
        <f>0.87/10</f>
        <v>0.087</v>
      </c>
      <c r="AZ45" s="75" t="s">
        <v>7</v>
      </c>
      <c r="BA45" s="75" t="s">
        <v>7</v>
      </c>
      <c r="BB45" s="75" t="s">
        <v>245</v>
      </c>
      <c r="BC45" s="75">
        <v>4.8</v>
      </c>
    </row>
    <row r="46" spans="1:55" ht="15">
      <c r="A46" s="73" t="s">
        <v>252</v>
      </c>
      <c r="B46" s="74" t="s">
        <v>247</v>
      </c>
      <c r="P46" s="75">
        <v>4.1</v>
      </c>
      <c r="Q46" s="79">
        <f t="shared" si="4"/>
        <v>3.2430999999999996</v>
      </c>
      <c r="R46" s="79"/>
      <c r="S46" s="79"/>
      <c r="T46" s="79"/>
      <c r="U46" s="79"/>
      <c r="V46" s="79"/>
      <c r="W46" s="79"/>
      <c r="AN46" s="75" t="s">
        <v>7</v>
      </c>
      <c r="AO46" s="75">
        <f>30/10</f>
        <v>3</v>
      </c>
      <c r="AP46" s="75">
        <f>0.018/10</f>
        <v>0.0018</v>
      </c>
      <c r="AQ46" s="75" t="s">
        <v>7</v>
      </c>
      <c r="AR46" s="75">
        <f>0.056/10</f>
        <v>0.0056</v>
      </c>
      <c r="AS46" s="75">
        <f>130/10</f>
        <v>13</v>
      </c>
      <c r="AT46" s="75" t="s">
        <v>7</v>
      </c>
      <c r="AU46" s="75">
        <f>0.013/10</f>
        <v>0.0013</v>
      </c>
      <c r="AV46" s="75">
        <f>240/10</f>
        <v>24</v>
      </c>
      <c r="AW46" s="75" t="s">
        <v>7</v>
      </c>
      <c r="AX46" s="75">
        <f>46/10</f>
        <v>4.6</v>
      </c>
      <c r="AY46" s="75" t="s">
        <v>243</v>
      </c>
      <c r="AZ46" s="75" t="s">
        <v>7</v>
      </c>
      <c r="BA46" s="75" t="s">
        <v>7</v>
      </c>
      <c r="BB46" s="75" t="s">
        <v>245</v>
      </c>
      <c r="BC46" s="75">
        <v>2.4</v>
      </c>
    </row>
    <row r="47" spans="1:55" ht="15">
      <c r="A47" s="73" t="s">
        <v>252</v>
      </c>
      <c r="B47" s="74" t="s">
        <v>207</v>
      </c>
      <c r="P47" s="75">
        <v>4.5</v>
      </c>
      <c r="Q47" s="79">
        <f t="shared" si="4"/>
        <v>3.5595000000000003</v>
      </c>
      <c r="R47" s="79"/>
      <c r="S47" s="79"/>
      <c r="T47" s="79"/>
      <c r="U47" s="79"/>
      <c r="V47" s="79"/>
      <c r="W47" s="79"/>
      <c r="AN47" s="75" t="s">
        <v>7</v>
      </c>
      <c r="AO47" s="75">
        <f>35/10</f>
        <v>3.5</v>
      </c>
      <c r="AP47" s="75">
        <f>0.027/10</f>
        <v>0.0027</v>
      </c>
      <c r="AQ47" s="75" t="s">
        <v>7</v>
      </c>
      <c r="AR47" s="75">
        <f>0.11/10</f>
        <v>0.011</v>
      </c>
      <c r="AS47" s="75">
        <f>240/10</f>
        <v>24</v>
      </c>
      <c r="AT47" s="75" t="s">
        <v>7</v>
      </c>
      <c r="AU47" s="75" t="s">
        <v>125</v>
      </c>
      <c r="AV47" s="75">
        <f>380/10</f>
        <v>38</v>
      </c>
      <c r="AW47" s="75" t="s">
        <v>7</v>
      </c>
      <c r="AX47" s="75">
        <f>88/10</f>
        <v>8.8</v>
      </c>
      <c r="AY47" s="75" t="s">
        <v>243</v>
      </c>
      <c r="AZ47" s="75" t="s">
        <v>7</v>
      </c>
      <c r="BA47" s="75" t="s">
        <v>7</v>
      </c>
      <c r="BB47" s="75" t="s">
        <v>245</v>
      </c>
      <c r="BC47" s="75">
        <v>3.1</v>
      </c>
    </row>
    <row r="48" spans="1:55" ht="15">
      <c r="A48" s="73" t="s">
        <v>252</v>
      </c>
      <c r="B48" s="74" t="s">
        <v>208</v>
      </c>
      <c r="P48" s="75">
        <v>4.6</v>
      </c>
      <c r="Q48" s="79">
        <f t="shared" si="4"/>
        <v>3.6386</v>
      </c>
      <c r="R48" s="79"/>
      <c r="S48" s="79"/>
      <c r="T48" s="79"/>
      <c r="U48" s="79"/>
      <c r="V48" s="79"/>
      <c r="W48" s="79"/>
      <c r="AN48" s="75" t="s">
        <v>7</v>
      </c>
      <c r="AO48" s="75">
        <f>24/10</f>
        <v>2.4</v>
      </c>
      <c r="AP48" s="75">
        <f>0.018/10</f>
        <v>0.0018</v>
      </c>
      <c r="AQ48" s="75" t="s">
        <v>7</v>
      </c>
      <c r="AR48" s="75">
        <f>0.064/10</f>
        <v>0.0064</v>
      </c>
      <c r="AS48" s="75">
        <f>120/10</f>
        <v>12</v>
      </c>
      <c r="AT48" s="75" t="s">
        <v>7</v>
      </c>
      <c r="AU48" s="75">
        <f>0.018/10</f>
        <v>0.0018</v>
      </c>
      <c r="AV48" s="75">
        <f>250/10</f>
        <v>25</v>
      </c>
      <c r="AW48" s="75" t="s">
        <v>7</v>
      </c>
      <c r="AX48" s="75">
        <f>47/10</f>
        <v>4.7</v>
      </c>
      <c r="AY48" s="75" t="s">
        <v>243</v>
      </c>
      <c r="AZ48" s="75" t="s">
        <v>7</v>
      </c>
      <c r="BA48" s="75" t="s">
        <v>7</v>
      </c>
      <c r="BB48" s="75" t="s">
        <v>245</v>
      </c>
      <c r="BC48" s="75">
        <v>3.1</v>
      </c>
    </row>
    <row r="49" spans="1:55" s="72" customFormat="1" ht="15" customHeight="1">
      <c r="A49" s="69" t="s">
        <v>253</v>
      </c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97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</row>
    <row r="50" spans="1:39" ht="15">
      <c r="A50" s="73" t="s">
        <v>254</v>
      </c>
      <c r="B50" s="74" t="s">
        <v>2</v>
      </c>
      <c r="C50" s="75">
        <v>0.992</v>
      </c>
      <c r="D50" s="75">
        <v>87.7</v>
      </c>
      <c r="E50" s="75" t="s">
        <v>3</v>
      </c>
      <c r="F50" s="75">
        <v>0.3</v>
      </c>
      <c r="G50" s="75">
        <v>0.14</v>
      </c>
      <c r="H50" s="75">
        <v>0.13</v>
      </c>
      <c r="I50" s="75" t="s">
        <v>6</v>
      </c>
      <c r="J50" s="75" t="s">
        <v>6</v>
      </c>
      <c r="K50" s="75" t="s">
        <v>6</v>
      </c>
      <c r="L50" s="75" t="s">
        <v>7</v>
      </c>
      <c r="O50" s="75">
        <v>0.1</v>
      </c>
      <c r="Q50" s="79"/>
      <c r="R50" s="78">
        <v>0.0984064</v>
      </c>
      <c r="S50" s="78">
        <v>0.07872512</v>
      </c>
      <c r="T50" s="78">
        <v>0.21649408</v>
      </c>
      <c r="U50" s="78">
        <v>0.16335462399999998</v>
      </c>
      <c r="V50" s="78" t="s">
        <v>244</v>
      </c>
      <c r="W50" s="78">
        <v>0.026569728</v>
      </c>
      <c r="AG50" s="75" t="s">
        <v>8</v>
      </c>
      <c r="AM50" s="75" t="s">
        <v>7</v>
      </c>
    </row>
    <row r="51" spans="1:55" ht="18.75" customHeight="1">
      <c r="A51" s="73" t="s">
        <v>254</v>
      </c>
      <c r="B51" s="74" t="s">
        <v>204</v>
      </c>
      <c r="P51" s="75">
        <v>12.5</v>
      </c>
      <c r="Q51" s="79">
        <f>(P51*0.791)/$C$50</f>
        <v>9.967237903225808</v>
      </c>
      <c r="R51" s="79"/>
      <c r="S51" s="79"/>
      <c r="T51" s="79"/>
      <c r="U51" s="79"/>
      <c r="V51" s="79"/>
      <c r="W51" s="79"/>
      <c r="AN51" s="75" t="s">
        <v>7</v>
      </c>
      <c r="AO51" s="75">
        <f>78/10</f>
        <v>7.8</v>
      </c>
      <c r="AP51" s="75">
        <f>0.045/10</f>
        <v>0.0045</v>
      </c>
      <c r="AQ51" s="75" t="s">
        <v>7</v>
      </c>
      <c r="AR51" s="75">
        <f>0.76/10</f>
        <v>0.076</v>
      </c>
      <c r="AS51" s="75">
        <f>220/10</f>
        <v>22</v>
      </c>
      <c r="AT51" s="75" t="s">
        <v>7</v>
      </c>
      <c r="AU51" s="75">
        <f>0.84/10</f>
        <v>0.08399999999999999</v>
      </c>
      <c r="AV51" s="75">
        <f>710/10</f>
        <v>71</v>
      </c>
      <c r="AW51" s="75" t="s">
        <v>7</v>
      </c>
      <c r="AX51" s="75">
        <f>91/10</f>
        <v>9.1</v>
      </c>
      <c r="AY51" s="75">
        <f>0.77/10</f>
        <v>0.077</v>
      </c>
      <c r="AZ51" s="75" t="s">
        <v>7</v>
      </c>
      <c r="BA51" s="75" t="s">
        <v>7</v>
      </c>
      <c r="BB51" s="75">
        <f>0.44/10*1000</f>
        <v>44</v>
      </c>
      <c r="BC51" s="75">
        <v>2.5</v>
      </c>
    </row>
    <row r="52" spans="1:55" ht="15">
      <c r="A52" s="73" t="s">
        <v>254</v>
      </c>
      <c r="B52" s="74" t="s">
        <v>129</v>
      </c>
      <c r="P52" s="75">
        <v>13.2</v>
      </c>
      <c r="Q52" s="79">
        <f aca="true" t="shared" si="5" ref="Q52:Q58">(P52*0.791)/$C$50</f>
        <v>10.525403225806452</v>
      </c>
      <c r="R52" s="79"/>
      <c r="S52" s="79"/>
      <c r="T52" s="79"/>
      <c r="U52" s="79"/>
      <c r="V52" s="79"/>
      <c r="W52" s="79"/>
      <c r="AN52" s="75" t="s">
        <v>7</v>
      </c>
      <c r="AO52" s="75">
        <f>71/10</f>
        <v>7.1</v>
      </c>
      <c r="AP52" s="75">
        <f>0.22/10</f>
        <v>0.022</v>
      </c>
      <c r="AQ52" s="75">
        <f>0.014/10*1000</f>
        <v>1.4</v>
      </c>
      <c r="AR52" s="75">
        <f>0.99/10</f>
        <v>0.099</v>
      </c>
      <c r="AS52" s="75">
        <f>200/10</f>
        <v>20</v>
      </c>
      <c r="AT52" s="75" t="s">
        <v>7</v>
      </c>
      <c r="AU52" s="75">
        <f>0.83/10</f>
        <v>0.08299999999999999</v>
      </c>
      <c r="AV52" s="75">
        <f>380/10</f>
        <v>38</v>
      </c>
      <c r="AW52" s="75" t="s">
        <v>7</v>
      </c>
      <c r="AX52" s="75">
        <f>100/10</f>
        <v>10</v>
      </c>
      <c r="AY52" s="75">
        <f>1.1/10</f>
        <v>0.11000000000000001</v>
      </c>
      <c r="AZ52" s="75" t="s">
        <v>7</v>
      </c>
      <c r="BA52" s="75" t="s">
        <v>7</v>
      </c>
      <c r="BB52" s="75">
        <f>1.1/10*1000</f>
        <v>110.00000000000001</v>
      </c>
      <c r="BC52" s="75">
        <v>3.3</v>
      </c>
    </row>
    <row r="53" spans="1:55" ht="15">
      <c r="A53" s="73" t="s">
        <v>254</v>
      </c>
      <c r="B53" s="74" t="s">
        <v>246</v>
      </c>
      <c r="P53" s="75">
        <v>13.3</v>
      </c>
      <c r="Q53" s="79">
        <f t="shared" si="5"/>
        <v>10.605141129032258</v>
      </c>
      <c r="R53" s="79"/>
      <c r="S53" s="79"/>
      <c r="T53" s="79"/>
      <c r="U53" s="79"/>
      <c r="V53" s="79"/>
      <c r="W53" s="79"/>
      <c r="AN53" s="75" t="s">
        <v>7</v>
      </c>
      <c r="AO53" s="75">
        <f>65/10</f>
        <v>6.5</v>
      </c>
      <c r="AP53" s="78">
        <f>0.03/10</f>
        <v>0.003</v>
      </c>
      <c r="AQ53" s="75" t="s">
        <v>7</v>
      </c>
      <c r="AR53" s="75">
        <f>0.71/10</f>
        <v>0.071</v>
      </c>
      <c r="AS53" s="75">
        <f>150/10</f>
        <v>15</v>
      </c>
      <c r="AT53" s="75" t="s">
        <v>7</v>
      </c>
      <c r="AU53" s="75">
        <f>0.75/10</f>
        <v>0.075</v>
      </c>
      <c r="AV53" s="75">
        <f>460/10</f>
        <v>46</v>
      </c>
      <c r="AW53" s="75" t="s">
        <v>7</v>
      </c>
      <c r="AX53" s="75">
        <f>100/10</f>
        <v>10</v>
      </c>
      <c r="AY53" s="75">
        <f>1.4/10</f>
        <v>0.13999999999999999</v>
      </c>
      <c r="AZ53" s="75" t="s">
        <v>7</v>
      </c>
      <c r="BA53" s="75" t="s">
        <v>7</v>
      </c>
      <c r="BB53" s="75">
        <f>0.63/10*1000</f>
        <v>63</v>
      </c>
      <c r="BC53" s="79">
        <v>3</v>
      </c>
    </row>
    <row r="54" spans="1:55" ht="15">
      <c r="A54" s="73" t="s">
        <v>254</v>
      </c>
      <c r="B54" s="74" t="s">
        <v>206</v>
      </c>
      <c r="P54" s="75">
        <v>12.9</v>
      </c>
      <c r="Q54" s="79">
        <f t="shared" si="5"/>
        <v>10.286189516129033</v>
      </c>
      <c r="R54" s="79"/>
      <c r="S54" s="79"/>
      <c r="T54" s="79"/>
      <c r="U54" s="79"/>
      <c r="V54" s="79"/>
      <c r="W54" s="79"/>
      <c r="AN54" s="75" t="s">
        <v>7</v>
      </c>
      <c r="AO54" s="75">
        <f>87/10</f>
        <v>8.7</v>
      </c>
      <c r="AP54" s="80">
        <f>0.4/10</f>
        <v>0.04</v>
      </c>
      <c r="AQ54" s="75">
        <v>1.3</v>
      </c>
      <c r="AR54" s="75">
        <f>1.8/10</f>
        <v>0.18</v>
      </c>
      <c r="AS54" s="75">
        <f>500/10</f>
        <v>50</v>
      </c>
      <c r="AT54" s="75" t="s">
        <v>7</v>
      </c>
      <c r="AU54" s="75">
        <f>0.82/10</f>
        <v>0.08199999999999999</v>
      </c>
      <c r="AV54" s="75">
        <f>640/10</f>
        <v>64</v>
      </c>
      <c r="AW54" s="75" t="s">
        <v>7</v>
      </c>
      <c r="AX54" s="75">
        <f>110/10</f>
        <v>11</v>
      </c>
      <c r="AY54" s="75">
        <f>2.5/10</f>
        <v>0.25</v>
      </c>
      <c r="AZ54" s="75" t="s">
        <v>7</v>
      </c>
      <c r="BA54" s="75" t="s">
        <v>7</v>
      </c>
      <c r="BB54" s="75">
        <f>0.45/10*1000</f>
        <v>45</v>
      </c>
      <c r="BC54" s="75">
        <v>4.4</v>
      </c>
    </row>
    <row r="55" spans="1:55" ht="15">
      <c r="A55" s="73" t="s">
        <v>254</v>
      </c>
      <c r="B55" s="74" t="s">
        <v>132</v>
      </c>
      <c r="P55" s="75">
        <v>13</v>
      </c>
      <c r="Q55" s="79">
        <f t="shared" si="5"/>
        <v>10.36592741935484</v>
      </c>
      <c r="R55" s="79"/>
      <c r="S55" s="79"/>
      <c r="T55" s="79"/>
      <c r="U55" s="79"/>
      <c r="V55" s="79"/>
      <c r="W55" s="79"/>
      <c r="AN55" s="75" t="s">
        <v>7</v>
      </c>
      <c r="AO55" s="75">
        <f>70/10</f>
        <v>7</v>
      </c>
      <c r="AP55" s="75">
        <f>0.035/10</f>
        <v>0.0035000000000000005</v>
      </c>
      <c r="AQ55" s="75" t="s">
        <v>7</v>
      </c>
      <c r="AR55" s="79">
        <f>1/10</f>
        <v>0.1</v>
      </c>
      <c r="AS55" s="75">
        <f>240/10</f>
        <v>24</v>
      </c>
      <c r="AT55" s="75" t="s">
        <v>7</v>
      </c>
      <c r="AU55" s="75">
        <f>1.2/10</f>
        <v>0.12</v>
      </c>
      <c r="AV55" s="75">
        <f>630/10</f>
        <v>63</v>
      </c>
      <c r="AW55" s="75" t="s">
        <v>7</v>
      </c>
      <c r="AX55" s="75">
        <f>110/10</f>
        <v>11</v>
      </c>
      <c r="AY55" s="75">
        <f>0.48/10</f>
        <v>0.048</v>
      </c>
      <c r="AZ55" s="75">
        <f>0.033/10*1000</f>
        <v>3.3</v>
      </c>
      <c r="BA55" s="75" t="s">
        <v>7</v>
      </c>
      <c r="BB55" s="75">
        <f>0.14/10*1000</f>
        <v>14.000000000000002</v>
      </c>
      <c r="BC55" s="75">
        <v>3.8</v>
      </c>
    </row>
    <row r="56" spans="1:55" ht="15">
      <c r="A56" s="73" t="s">
        <v>254</v>
      </c>
      <c r="B56" s="74" t="s">
        <v>247</v>
      </c>
      <c r="P56" s="75">
        <v>12.9</v>
      </c>
      <c r="Q56" s="79">
        <f t="shared" si="5"/>
        <v>10.286189516129033</v>
      </c>
      <c r="R56" s="79"/>
      <c r="S56" s="79"/>
      <c r="T56" s="79"/>
      <c r="U56" s="79"/>
      <c r="V56" s="79"/>
      <c r="W56" s="79"/>
      <c r="AN56" s="75" t="s">
        <v>7</v>
      </c>
      <c r="AO56" s="75">
        <f>68/10</f>
        <v>6.8</v>
      </c>
      <c r="AP56" s="75">
        <f>0.07/10</f>
        <v>0.007000000000000001</v>
      </c>
      <c r="AQ56" s="75">
        <v>1.5</v>
      </c>
      <c r="AR56" s="75">
        <f>1.2/10</f>
        <v>0.12</v>
      </c>
      <c r="AS56" s="75">
        <f>180/10</f>
        <v>18</v>
      </c>
      <c r="AT56" s="75" t="s">
        <v>7</v>
      </c>
      <c r="AU56" s="75">
        <f>1.1/10</f>
        <v>0.11000000000000001</v>
      </c>
      <c r="AV56" s="75">
        <f>370/10</f>
        <v>37</v>
      </c>
      <c r="AW56" s="75" t="s">
        <v>7</v>
      </c>
      <c r="AX56" s="75">
        <f>120/10</f>
        <v>12</v>
      </c>
      <c r="AY56" s="75">
        <f>1.1/10</f>
        <v>0.11000000000000001</v>
      </c>
      <c r="AZ56" s="75" t="s">
        <v>7</v>
      </c>
      <c r="BA56" s="75" t="s">
        <v>7</v>
      </c>
      <c r="BB56" s="75">
        <f>0.69/10*1000</f>
        <v>68.99999999999999</v>
      </c>
      <c r="BC56" s="75">
        <v>2.3</v>
      </c>
    </row>
    <row r="57" spans="1:55" ht="15">
      <c r="A57" s="73" t="s">
        <v>254</v>
      </c>
      <c r="B57" s="74" t="s">
        <v>207</v>
      </c>
      <c r="P57" s="75">
        <v>12</v>
      </c>
      <c r="Q57" s="79">
        <f t="shared" si="5"/>
        <v>9.568548387096776</v>
      </c>
      <c r="R57" s="79"/>
      <c r="S57" s="79"/>
      <c r="T57" s="79"/>
      <c r="U57" s="79"/>
      <c r="V57" s="79"/>
      <c r="W57" s="79"/>
      <c r="AN57" s="75" t="s">
        <v>7</v>
      </c>
      <c r="AO57" s="75">
        <f>59/10</f>
        <v>5.9</v>
      </c>
      <c r="AP57" s="80">
        <f>0.1/10</f>
        <v>0.01</v>
      </c>
      <c r="AQ57" s="75">
        <v>1.2</v>
      </c>
      <c r="AR57" s="75">
        <f>1.1/10</f>
        <v>0.11000000000000001</v>
      </c>
      <c r="AS57" s="75">
        <f>260/10</f>
        <v>26</v>
      </c>
      <c r="AT57" s="75" t="s">
        <v>7</v>
      </c>
      <c r="AU57" s="75">
        <f>1.1/10</f>
        <v>0.11000000000000001</v>
      </c>
      <c r="AV57" s="75">
        <f>480/10</f>
        <v>48</v>
      </c>
      <c r="AW57" s="75" t="s">
        <v>7</v>
      </c>
      <c r="AX57" s="75">
        <f>120/10</f>
        <v>12</v>
      </c>
      <c r="AY57" s="75">
        <f>1.3/10</f>
        <v>0.13</v>
      </c>
      <c r="AZ57" s="75" t="s">
        <v>7</v>
      </c>
      <c r="BA57" s="75" t="s">
        <v>7</v>
      </c>
      <c r="BB57" s="75">
        <f>0.34/10*1000</f>
        <v>34</v>
      </c>
      <c r="BC57" s="75">
        <v>3.7</v>
      </c>
    </row>
    <row r="58" spans="1:55" ht="15">
      <c r="A58" s="73" t="s">
        <v>254</v>
      </c>
      <c r="B58" s="74" t="s">
        <v>208</v>
      </c>
      <c r="P58" s="75">
        <v>13</v>
      </c>
      <c r="Q58" s="79">
        <f t="shared" si="5"/>
        <v>10.36592741935484</v>
      </c>
      <c r="R58" s="79"/>
      <c r="S58" s="79"/>
      <c r="T58" s="79"/>
      <c r="U58" s="79"/>
      <c r="V58" s="79"/>
      <c r="W58" s="79"/>
      <c r="AN58" s="75" t="s">
        <v>7</v>
      </c>
      <c r="AO58" s="75">
        <f>53/10</f>
        <v>5.3</v>
      </c>
      <c r="AP58" s="75">
        <f>0.45/10</f>
        <v>0.045</v>
      </c>
      <c r="AQ58" s="75" t="s">
        <v>7</v>
      </c>
      <c r="AR58" s="75">
        <f>0.94/10</f>
        <v>0.094</v>
      </c>
      <c r="AS58" s="75">
        <f>240/10</f>
        <v>24</v>
      </c>
      <c r="AT58" s="75" t="s">
        <v>7</v>
      </c>
      <c r="AU58" s="75">
        <f>0.97/10</f>
        <v>0.097</v>
      </c>
      <c r="AV58" s="75">
        <f>510/10</f>
        <v>51</v>
      </c>
      <c r="AW58" s="75" t="s">
        <v>7</v>
      </c>
      <c r="AX58" s="75">
        <f>120/10</f>
        <v>12</v>
      </c>
      <c r="AY58" s="75">
        <f>5.1/10</f>
        <v>0.51</v>
      </c>
      <c r="AZ58" s="75" t="s">
        <v>7</v>
      </c>
      <c r="BA58" s="75" t="s">
        <v>7</v>
      </c>
      <c r="BB58" s="75">
        <f>0.66/10*1000</f>
        <v>66</v>
      </c>
      <c r="BC58" s="75">
        <v>7.5</v>
      </c>
    </row>
    <row r="59" spans="1:39" ht="15">
      <c r="A59" s="73" t="s">
        <v>255</v>
      </c>
      <c r="B59" s="74" t="s">
        <v>2</v>
      </c>
      <c r="C59" s="75">
        <v>0.993</v>
      </c>
      <c r="D59" s="75">
        <v>89.2</v>
      </c>
      <c r="E59" s="75" t="s">
        <v>3</v>
      </c>
      <c r="F59" s="75">
        <v>0.2</v>
      </c>
      <c r="G59" s="75">
        <v>0.13</v>
      </c>
      <c r="H59" s="75">
        <v>0.1</v>
      </c>
      <c r="I59" s="75" t="s">
        <v>6</v>
      </c>
      <c r="J59" s="75" t="s">
        <v>6</v>
      </c>
      <c r="K59" s="75" t="s">
        <v>6</v>
      </c>
      <c r="L59" s="75" t="s">
        <v>7</v>
      </c>
      <c r="O59" s="75">
        <v>0.2</v>
      </c>
      <c r="Q59" s="79"/>
      <c r="R59" s="78">
        <v>0.00986049</v>
      </c>
      <c r="S59" s="78">
        <v>0.05916294</v>
      </c>
      <c r="T59" s="78">
        <v>0.30567519</v>
      </c>
      <c r="U59" s="78">
        <v>0.19819584899999998</v>
      </c>
      <c r="V59" s="78" t="s">
        <v>244</v>
      </c>
      <c r="W59" s="78">
        <v>0.01972098</v>
      </c>
      <c r="AG59" s="75">
        <v>5.6</v>
      </c>
      <c r="AM59" s="75" t="s">
        <v>7</v>
      </c>
    </row>
    <row r="60" spans="1:55" ht="15">
      <c r="A60" s="73" t="s">
        <v>255</v>
      </c>
      <c r="B60" s="74" t="s">
        <v>204</v>
      </c>
      <c r="P60" s="75">
        <v>11.5</v>
      </c>
      <c r="Q60" s="79">
        <f>(P60*0.791)/$C$59</f>
        <v>9.16062437059416</v>
      </c>
      <c r="R60" s="79"/>
      <c r="S60" s="79"/>
      <c r="T60" s="79"/>
      <c r="U60" s="79"/>
      <c r="V60" s="79"/>
      <c r="W60" s="79"/>
      <c r="AN60" s="75" t="s">
        <v>7</v>
      </c>
      <c r="AO60" s="75">
        <f>99/10</f>
        <v>9.9</v>
      </c>
      <c r="AP60" s="75">
        <f>0.14/10</f>
        <v>0.014000000000000002</v>
      </c>
      <c r="AQ60" s="75">
        <v>1.3</v>
      </c>
      <c r="AR60" s="75">
        <f>0.95/10</f>
        <v>0.095</v>
      </c>
      <c r="AS60" s="75">
        <f>220/10</f>
        <v>22</v>
      </c>
      <c r="AT60" s="75" t="s">
        <v>7</v>
      </c>
      <c r="AU60" s="75">
        <f>0.53/10</f>
        <v>0.053000000000000005</v>
      </c>
      <c r="AV60" s="75">
        <f>620/10</f>
        <v>62</v>
      </c>
      <c r="AW60" s="75" t="s">
        <v>7</v>
      </c>
      <c r="AX60" s="75">
        <f>83/10</f>
        <v>8.3</v>
      </c>
      <c r="AY60" s="75">
        <f>1.2/10</f>
        <v>0.12</v>
      </c>
      <c r="AZ60" s="75">
        <f>0.01/10*1000</f>
        <v>1</v>
      </c>
      <c r="BA60" s="75" t="s">
        <v>7</v>
      </c>
      <c r="BB60" s="75">
        <f>0.46/10*1000</f>
        <v>46</v>
      </c>
      <c r="BC60" s="75">
        <v>4.6</v>
      </c>
    </row>
    <row r="61" spans="1:55" ht="15">
      <c r="A61" s="73" t="s">
        <v>255</v>
      </c>
      <c r="B61" s="74" t="s">
        <v>129</v>
      </c>
      <c r="P61" s="75">
        <v>11.1</v>
      </c>
      <c r="Q61" s="79">
        <f aca="true" t="shared" si="6" ref="Q61:Q67">(P61*0.791)/$C$59</f>
        <v>8.841993957703929</v>
      </c>
      <c r="R61" s="79"/>
      <c r="S61" s="79"/>
      <c r="T61" s="79"/>
      <c r="U61" s="79"/>
      <c r="V61" s="79"/>
      <c r="W61" s="79"/>
      <c r="AN61" s="75" t="s">
        <v>7</v>
      </c>
      <c r="AO61" s="75">
        <f>92/10</f>
        <v>9.2</v>
      </c>
      <c r="AP61" s="75">
        <f>0.12/10</f>
        <v>0.012</v>
      </c>
      <c r="AQ61" s="75">
        <v>1</v>
      </c>
      <c r="AR61" s="75">
        <f>0.77/10</f>
        <v>0.077</v>
      </c>
      <c r="AS61" s="75">
        <f>320/10</f>
        <v>32</v>
      </c>
      <c r="AT61" s="75" t="s">
        <v>7</v>
      </c>
      <c r="AU61" s="75">
        <f>1.2/10</f>
        <v>0.12</v>
      </c>
      <c r="AV61" s="75">
        <f>670/10</f>
        <v>67</v>
      </c>
      <c r="AW61" s="75" t="s">
        <v>7</v>
      </c>
      <c r="AX61" s="75">
        <f>68/10</f>
        <v>6.8</v>
      </c>
      <c r="AY61" s="75">
        <f>0.94/10</f>
        <v>0.094</v>
      </c>
      <c r="AZ61" s="75">
        <f>0.011/10*1000</f>
        <v>1.0999999999999999</v>
      </c>
      <c r="BA61" s="75" t="s">
        <v>7</v>
      </c>
      <c r="BB61" s="80">
        <f>0.3/10*1000</f>
        <v>30</v>
      </c>
      <c r="BC61" s="75">
        <v>4.5</v>
      </c>
    </row>
    <row r="62" spans="1:55" ht="15">
      <c r="A62" s="73" t="s">
        <v>255</v>
      </c>
      <c r="B62" s="74" t="s">
        <v>246</v>
      </c>
      <c r="P62" s="75">
        <v>12.4</v>
      </c>
      <c r="Q62" s="79">
        <f t="shared" si="6"/>
        <v>9.877542799597181</v>
      </c>
      <c r="R62" s="79"/>
      <c r="S62" s="79"/>
      <c r="T62" s="79"/>
      <c r="U62" s="79"/>
      <c r="V62" s="79"/>
      <c r="W62" s="79"/>
      <c r="AN62" s="75" t="s">
        <v>7</v>
      </c>
      <c r="AO62" s="75">
        <f>82/10</f>
        <v>8.2</v>
      </c>
      <c r="AP62" s="80">
        <f>0.2/10</f>
        <v>0.02</v>
      </c>
      <c r="AQ62" s="75" t="s">
        <v>7</v>
      </c>
      <c r="AR62" s="75">
        <f>1.3/10</f>
        <v>0.13</v>
      </c>
      <c r="AS62" s="75">
        <f>310/10</f>
        <v>31</v>
      </c>
      <c r="AT62" s="75" t="s">
        <v>7</v>
      </c>
      <c r="AU62" s="79">
        <f>1/10</f>
        <v>0.1</v>
      </c>
      <c r="AV62" s="75">
        <f>750/10</f>
        <v>75</v>
      </c>
      <c r="AW62" s="75" t="s">
        <v>7</v>
      </c>
      <c r="AX62" s="75">
        <f>83/10</f>
        <v>8.3</v>
      </c>
      <c r="AY62" s="75">
        <f>1.6/10</f>
        <v>0.16</v>
      </c>
      <c r="AZ62" s="75">
        <f>0.014/10*1000</f>
        <v>1.4</v>
      </c>
      <c r="BA62" s="75" t="s">
        <v>7</v>
      </c>
      <c r="BB62" s="75">
        <f>0.54/10*1000</f>
        <v>54.00000000000001</v>
      </c>
      <c r="BC62" s="75">
        <v>3.5</v>
      </c>
    </row>
    <row r="63" spans="1:55" ht="15">
      <c r="A63" s="73" t="s">
        <v>255</v>
      </c>
      <c r="B63" s="74" t="s">
        <v>206</v>
      </c>
      <c r="P63" s="75">
        <v>11.5</v>
      </c>
      <c r="Q63" s="79">
        <f t="shared" si="6"/>
        <v>9.16062437059416</v>
      </c>
      <c r="R63" s="79"/>
      <c r="S63" s="79"/>
      <c r="T63" s="79"/>
      <c r="U63" s="79"/>
      <c r="V63" s="79"/>
      <c r="W63" s="79"/>
      <c r="AN63" s="75" t="s">
        <v>7</v>
      </c>
      <c r="AO63" s="75">
        <f>88/10</f>
        <v>8.8</v>
      </c>
      <c r="AP63" s="75">
        <f>0.42/10</f>
        <v>0.041999999999999996</v>
      </c>
      <c r="AQ63" s="75">
        <v>1.4</v>
      </c>
      <c r="AR63" s="75">
        <f>0.71/10</f>
        <v>0.071</v>
      </c>
      <c r="AS63" s="75">
        <f>210/10</f>
        <v>21</v>
      </c>
      <c r="AT63" s="75" t="s">
        <v>7</v>
      </c>
      <c r="AU63" s="75">
        <f>0.83/10</f>
        <v>0.08299999999999999</v>
      </c>
      <c r="AV63" s="75">
        <f>450/10</f>
        <v>45</v>
      </c>
      <c r="AW63" s="75" t="s">
        <v>7</v>
      </c>
      <c r="AX63" s="75">
        <f>85/10</f>
        <v>8.5</v>
      </c>
      <c r="AY63" s="75">
        <f>1.8/10</f>
        <v>0.18</v>
      </c>
      <c r="AZ63" s="75" t="s">
        <v>7</v>
      </c>
      <c r="BA63" s="75" t="s">
        <v>7</v>
      </c>
      <c r="BB63" s="75">
        <f>0.31/10*1000</f>
        <v>31</v>
      </c>
      <c r="BC63" s="75">
        <v>7.6</v>
      </c>
    </row>
    <row r="64" spans="1:55" ht="15">
      <c r="A64" s="73" t="s">
        <v>255</v>
      </c>
      <c r="B64" s="74" t="s">
        <v>132</v>
      </c>
      <c r="P64" s="75">
        <v>11.4</v>
      </c>
      <c r="Q64" s="79">
        <f t="shared" si="6"/>
        <v>9.080966767371601</v>
      </c>
      <c r="R64" s="79"/>
      <c r="S64" s="79"/>
      <c r="T64" s="79"/>
      <c r="U64" s="79"/>
      <c r="V64" s="79"/>
      <c r="W64" s="79"/>
      <c r="AN64" s="75" t="s">
        <v>7</v>
      </c>
      <c r="AO64" s="75">
        <f>110/10</f>
        <v>11</v>
      </c>
      <c r="AP64" s="75">
        <f>0.022/10</f>
        <v>0.0021999999999999997</v>
      </c>
      <c r="AQ64" s="75" t="s">
        <v>7</v>
      </c>
      <c r="AR64" s="75">
        <f>0.91/10</f>
        <v>0.091</v>
      </c>
      <c r="AS64" s="75">
        <f>360/10</f>
        <v>36</v>
      </c>
      <c r="AT64" s="75" t="s">
        <v>7</v>
      </c>
      <c r="AU64" s="75">
        <f>0.49/10</f>
        <v>0.049</v>
      </c>
      <c r="AV64" s="75">
        <f>540/10</f>
        <v>54</v>
      </c>
      <c r="AW64" s="75" t="s">
        <v>7</v>
      </c>
      <c r="AX64" s="75">
        <f>70/10</f>
        <v>7</v>
      </c>
      <c r="AY64" s="75">
        <v>0.85</v>
      </c>
      <c r="AZ64" s="75">
        <f>0.036/10*1000</f>
        <v>3.6</v>
      </c>
      <c r="BA64" s="75" t="s">
        <v>7</v>
      </c>
      <c r="BB64" s="75">
        <f>0.31/10*1000</f>
        <v>31</v>
      </c>
      <c r="BC64" s="75">
        <v>3.5</v>
      </c>
    </row>
    <row r="65" spans="1:55" ht="15">
      <c r="A65" s="73" t="s">
        <v>255</v>
      </c>
      <c r="B65" s="74" t="s">
        <v>247</v>
      </c>
      <c r="P65" s="75">
        <v>10.1</v>
      </c>
      <c r="Q65" s="79">
        <f t="shared" si="6"/>
        <v>8.045417925478349</v>
      </c>
      <c r="R65" s="79"/>
      <c r="S65" s="79"/>
      <c r="T65" s="79"/>
      <c r="U65" s="79"/>
      <c r="V65" s="79"/>
      <c r="W65" s="79"/>
      <c r="AN65" s="75" t="s">
        <v>7</v>
      </c>
      <c r="AO65" s="75">
        <f>84/10</f>
        <v>8.4</v>
      </c>
      <c r="AP65" s="75">
        <f>0.034/10</f>
        <v>0.0034000000000000002</v>
      </c>
      <c r="AQ65" s="75" t="s">
        <v>7</v>
      </c>
      <c r="AR65" s="75">
        <f>0.89/10</f>
        <v>0.089</v>
      </c>
      <c r="AS65" s="75">
        <f>190/10</f>
        <v>19</v>
      </c>
      <c r="AT65" s="75" t="s">
        <v>7</v>
      </c>
      <c r="AU65" s="75">
        <f>0.63/10</f>
        <v>0.063</v>
      </c>
      <c r="AV65" s="75">
        <f>630/10</f>
        <v>63</v>
      </c>
      <c r="AW65" s="75" t="s">
        <v>7</v>
      </c>
      <c r="AX65" s="75">
        <f>70/10</f>
        <v>7</v>
      </c>
      <c r="AY65" s="80">
        <f>0.7/10</f>
        <v>0.06999999999999999</v>
      </c>
      <c r="AZ65" s="75">
        <f>0.021/10*1000</f>
        <v>2.1</v>
      </c>
      <c r="BA65" s="75" t="s">
        <v>7</v>
      </c>
      <c r="BB65" s="75">
        <f>0.66/10*1000</f>
        <v>66</v>
      </c>
      <c r="BC65" s="75">
        <v>3.3</v>
      </c>
    </row>
    <row r="66" spans="1:55" ht="15">
      <c r="A66" s="73" t="s">
        <v>255</v>
      </c>
      <c r="B66" s="74" t="s">
        <v>207</v>
      </c>
      <c r="P66" s="75">
        <v>11.5</v>
      </c>
      <c r="Q66" s="79">
        <f t="shared" si="6"/>
        <v>9.16062437059416</v>
      </c>
      <c r="R66" s="79"/>
      <c r="S66" s="79"/>
      <c r="T66" s="79"/>
      <c r="U66" s="79"/>
      <c r="V66" s="79"/>
      <c r="W66" s="79"/>
      <c r="AN66" s="75">
        <f>0.015/10*1000</f>
        <v>1.5</v>
      </c>
      <c r="AO66" s="75">
        <f>110/10</f>
        <v>11</v>
      </c>
      <c r="AP66" s="75">
        <f>0.43/10</f>
        <v>0.043</v>
      </c>
      <c r="AQ66" s="75">
        <v>1.9</v>
      </c>
      <c r="AR66" s="75">
        <f>0.45/10</f>
        <v>0.045</v>
      </c>
      <c r="AS66" s="75">
        <f>140/10</f>
        <v>14</v>
      </c>
      <c r="AT66" s="75" t="s">
        <v>7</v>
      </c>
      <c r="AU66" s="75">
        <f>0.14/10</f>
        <v>0.014000000000000002</v>
      </c>
      <c r="AV66" s="75">
        <f>410/10</f>
        <v>41</v>
      </c>
      <c r="AW66" s="75">
        <f>0.017/10*1000</f>
        <v>1.7000000000000002</v>
      </c>
      <c r="AX66" s="75">
        <f>74/10</f>
        <v>7.4</v>
      </c>
      <c r="AY66" s="75">
        <f>1.1/10</f>
        <v>0.11000000000000001</v>
      </c>
      <c r="AZ66" s="75">
        <f>0.012/10*1000</f>
        <v>1.2000000000000002</v>
      </c>
      <c r="BA66" s="75" t="s">
        <v>7</v>
      </c>
      <c r="BB66" s="75">
        <f>0.63/10*1000</f>
        <v>63</v>
      </c>
      <c r="BC66" s="75">
        <v>4.4</v>
      </c>
    </row>
    <row r="67" spans="1:55" ht="15">
      <c r="A67" s="73" t="s">
        <v>255</v>
      </c>
      <c r="B67" s="74" t="s">
        <v>208</v>
      </c>
      <c r="P67" s="75">
        <v>10.5</v>
      </c>
      <c r="Q67" s="79">
        <f t="shared" si="6"/>
        <v>8.36404833836858</v>
      </c>
      <c r="R67" s="79"/>
      <c r="S67" s="79"/>
      <c r="T67" s="79"/>
      <c r="U67" s="79"/>
      <c r="V67" s="79"/>
      <c r="W67" s="79"/>
      <c r="AN67" s="75" t="s">
        <v>7</v>
      </c>
      <c r="AO67" s="75">
        <f>80/10</f>
        <v>8</v>
      </c>
      <c r="AP67" s="75">
        <f>0.21/10</f>
        <v>0.020999999999999998</v>
      </c>
      <c r="AQ67" s="75">
        <v>1.4</v>
      </c>
      <c r="AR67" s="75">
        <f>0.82/10</f>
        <v>0.08199999999999999</v>
      </c>
      <c r="AS67" s="75">
        <f>250/10</f>
        <v>25</v>
      </c>
      <c r="AT67" s="75" t="s">
        <v>7</v>
      </c>
      <c r="AU67" s="75">
        <f>1.2/10</f>
        <v>0.12</v>
      </c>
      <c r="AV67" s="75">
        <f>500/10</f>
        <v>50</v>
      </c>
      <c r="AW67" s="75" t="s">
        <v>7</v>
      </c>
      <c r="AX67" s="75">
        <f>69/10</f>
        <v>6.9</v>
      </c>
      <c r="AY67" s="75">
        <f>0.95/10</f>
        <v>0.095</v>
      </c>
      <c r="AZ67" s="75" t="s">
        <v>7</v>
      </c>
      <c r="BA67" s="75" t="s">
        <v>7</v>
      </c>
      <c r="BB67" s="75">
        <f>0.28/10*1000</f>
        <v>28.000000000000004</v>
      </c>
      <c r="BC67" s="75">
        <v>18</v>
      </c>
    </row>
    <row r="68" spans="1:39" ht="15">
      <c r="A68" s="73" t="s">
        <v>256</v>
      </c>
      <c r="B68" s="74" t="s">
        <v>2</v>
      </c>
      <c r="C68" s="75">
        <v>0.992</v>
      </c>
      <c r="D68" s="75">
        <v>88.3</v>
      </c>
      <c r="E68" s="75" t="s">
        <v>3</v>
      </c>
      <c r="F68" s="75">
        <v>0.2</v>
      </c>
      <c r="G68" s="75">
        <v>0.18</v>
      </c>
      <c r="H68" s="75">
        <v>0.09</v>
      </c>
      <c r="I68" s="75" t="s">
        <v>6</v>
      </c>
      <c r="J68" s="75" t="s">
        <v>6</v>
      </c>
      <c r="K68" s="75" t="s">
        <v>6</v>
      </c>
      <c r="L68" s="75" t="s">
        <v>7</v>
      </c>
      <c r="O68" s="75">
        <v>0.2</v>
      </c>
      <c r="Q68" s="79"/>
      <c r="R68" s="78">
        <v>0.00984064</v>
      </c>
      <c r="S68" s="78">
        <v>0.0984064</v>
      </c>
      <c r="T68" s="78">
        <v>0.18697216</v>
      </c>
      <c r="U68" s="78">
        <v>0.337533952</v>
      </c>
      <c r="V68" s="78">
        <v>0.05904383999999999</v>
      </c>
      <c r="W68" s="78">
        <v>0.0246016</v>
      </c>
      <c r="X68" s="75" t="s">
        <v>175</v>
      </c>
      <c r="Y68" s="75" t="s">
        <v>175</v>
      </c>
      <c r="Z68" s="75" t="s">
        <v>175</v>
      </c>
      <c r="AA68" s="75" t="s">
        <v>6</v>
      </c>
      <c r="AB68" s="75" t="s">
        <v>6</v>
      </c>
      <c r="AC68" s="75" t="s">
        <v>7</v>
      </c>
      <c r="AD68" s="81" t="s">
        <v>249</v>
      </c>
      <c r="AE68" s="75" t="s">
        <v>6</v>
      </c>
      <c r="AF68" s="81" t="s">
        <v>42</v>
      </c>
      <c r="AG68" s="75" t="s">
        <v>7</v>
      </c>
      <c r="AH68" s="75" t="s">
        <v>5</v>
      </c>
      <c r="AI68" s="75" t="s">
        <v>5</v>
      </c>
      <c r="AJ68" s="75" t="s">
        <v>5</v>
      </c>
      <c r="AK68" s="75" t="s">
        <v>5</v>
      </c>
      <c r="AL68" s="78">
        <f>4.9/1000*100</f>
        <v>0.49000000000000005</v>
      </c>
      <c r="AM68" s="75" t="s">
        <v>7</v>
      </c>
    </row>
    <row r="69" spans="1:55" ht="15">
      <c r="A69" s="73" t="s">
        <v>256</v>
      </c>
      <c r="B69" s="74" t="s">
        <v>204</v>
      </c>
      <c r="P69" s="75">
        <v>12.8</v>
      </c>
      <c r="Q69" s="79">
        <f>(P69*0.791)/$C$68</f>
        <v>10.206451612903226</v>
      </c>
      <c r="R69" s="79"/>
      <c r="S69" s="79"/>
      <c r="T69" s="79"/>
      <c r="U69" s="79"/>
      <c r="V69" s="79"/>
      <c r="W69" s="79"/>
      <c r="AN69" s="75" t="s">
        <v>7</v>
      </c>
      <c r="AO69" s="75">
        <f>76/10</f>
        <v>7.6</v>
      </c>
      <c r="AP69" s="75">
        <f>0.025/10</f>
        <v>0.0025</v>
      </c>
      <c r="AQ69" s="75">
        <v>1.5</v>
      </c>
      <c r="AR69" s="75">
        <f>0.65/10</f>
        <v>0.065</v>
      </c>
      <c r="AS69" s="75">
        <f>190/10</f>
        <v>19</v>
      </c>
      <c r="AT69" s="75" t="s">
        <v>7</v>
      </c>
      <c r="AU69" s="75">
        <f>0.68/10</f>
        <v>0.068</v>
      </c>
      <c r="AV69" s="75">
        <f>440/10</f>
        <v>44</v>
      </c>
      <c r="AW69" s="75" t="s">
        <v>7</v>
      </c>
      <c r="AX69" s="75">
        <f>78/10</f>
        <v>7.8</v>
      </c>
      <c r="AY69" s="75">
        <f>0.88/10</f>
        <v>0.088</v>
      </c>
      <c r="AZ69" s="75" t="s">
        <v>7</v>
      </c>
      <c r="BA69" s="75" t="s">
        <v>7</v>
      </c>
      <c r="BB69" s="75">
        <f>0.25/10*1000</f>
        <v>25</v>
      </c>
      <c r="BC69" s="75">
        <v>2.2</v>
      </c>
    </row>
    <row r="70" spans="1:55" ht="15">
      <c r="A70" s="73" t="s">
        <v>256</v>
      </c>
      <c r="B70" s="74" t="s">
        <v>129</v>
      </c>
      <c r="P70" s="75">
        <v>13</v>
      </c>
      <c r="Q70" s="79">
        <f aca="true" t="shared" si="7" ref="Q70:Q76">(P70*0.791)/$C$68</f>
        <v>10.36592741935484</v>
      </c>
      <c r="R70" s="79"/>
      <c r="S70" s="79"/>
      <c r="T70" s="79"/>
      <c r="U70" s="79"/>
      <c r="V70" s="79"/>
      <c r="W70" s="79"/>
      <c r="AN70" s="75" t="s">
        <v>7</v>
      </c>
      <c r="AO70" s="75">
        <f>86/10</f>
        <v>8.6</v>
      </c>
      <c r="AP70" s="80">
        <f>0.1/10</f>
        <v>0.01</v>
      </c>
      <c r="AQ70" s="75">
        <v>1.2</v>
      </c>
      <c r="AR70" s="75">
        <f>0.71/10</f>
        <v>0.071</v>
      </c>
      <c r="AS70" s="75">
        <f>130/10</f>
        <v>13</v>
      </c>
      <c r="AT70" s="75" t="s">
        <v>7</v>
      </c>
      <c r="AU70" s="75">
        <f>0.44/10</f>
        <v>0.044</v>
      </c>
      <c r="AV70" s="75">
        <f>510/10</f>
        <v>51</v>
      </c>
      <c r="AW70" s="75" t="s">
        <v>7</v>
      </c>
      <c r="AX70" s="75">
        <f>83/10</f>
        <v>8.3</v>
      </c>
      <c r="AY70" s="80">
        <f>0.9/10</f>
        <v>0.09</v>
      </c>
      <c r="AZ70" s="75" t="s">
        <v>7</v>
      </c>
      <c r="BA70" s="75" t="s">
        <v>7</v>
      </c>
      <c r="BB70" s="75">
        <f>0.79/10*1000</f>
        <v>79</v>
      </c>
      <c r="BC70" s="75">
        <v>1.5</v>
      </c>
    </row>
    <row r="71" spans="1:55" ht="15">
      <c r="A71" s="73" t="s">
        <v>256</v>
      </c>
      <c r="B71" s="74" t="s">
        <v>246</v>
      </c>
      <c r="P71" s="75">
        <v>12</v>
      </c>
      <c r="Q71" s="79">
        <f t="shared" si="7"/>
        <v>9.568548387096776</v>
      </c>
      <c r="R71" s="79"/>
      <c r="S71" s="79"/>
      <c r="T71" s="79"/>
      <c r="U71" s="79"/>
      <c r="V71" s="79"/>
      <c r="W71" s="79"/>
      <c r="AN71" s="75" t="s">
        <v>7</v>
      </c>
      <c r="AO71" s="75">
        <f>91/10</f>
        <v>9.1</v>
      </c>
      <c r="AP71" s="80">
        <f>0.27/10</f>
        <v>0.027000000000000003</v>
      </c>
      <c r="AQ71" s="75">
        <v>1.2</v>
      </c>
      <c r="AR71" s="75">
        <f>0.72/10</f>
        <v>0.072</v>
      </c>
      <c r="AS71" s="75">
        <f>160/10</f>
        <v>16</v>
      </c>
      <c r="AT71" s="75" t="s">
        <v>7</v>
      </c>
      <c r="AU71" s="75">
        <f>0.56/10</f>
        <v>0.05600000000000001</v>
      </c>
      <c r="AV71" s="75">
        <f>580/10</f>
        <v>58</v>
      </c>
      <c r="AW71" s="75" t="s">
        <v>7</v>
      </c>
      <c r="AX71" s="75">
        <f>87/10</f>
        <v>8.7</v>
      </c>
      <c r="AY71" s="80">
        <f>0.74/10</f>
        <v>0.074</v>
      </c>
      <c r="AZ71" s="75" t="s">
        <v>7</v>
      </c>
      <c r="BA71" s="75" t="s">
        <v>7</v>
      </c>
      <c r="BB71" s="75">
        <f>0.87/10*1000</f>
        <v>87</v>
      </c>
      <c r="BC71" s="75">
        <v>2.2</v>
      </c>
    </row>
    <row r="72" spans="1:55" ht="15">
      <c r="A72" s="73" t="s">
        <v>256</v>
      </c>
      <c r="B72" s="74" t="s">
        <v>206</v>
      </c>
      <c r="P72" s="75">
        <v>12.4</v>
      </c>
      <c r="Q72" s="79">
        <f t="shared" si="7"/>
        <v>9.887500000000001</v>
      </c>
      <c r="R72" s="79"/>
      <c r="S72" s="79"/>
      <c r="T72" s="79"/>
      <c r="U72" s="79"/>
      <c r="V72" s="79"/>
      <c r="W72" s="79"/>
      <c r="AN72" s="75" t="s">
        <v>7</v>
      </c>
      <c r="AO72" s="75">
        <f>93/10</f>
        <v>9.3</v>
      </c>
      <c r="AP72" s="75">
        <f>0.25/10</f>
        <v>0.025</v>
      </c>
      <c r="AQ72" s="75">
        <v>1.1</v>
      </c>
      <c r="AR72" s="75">
        <f>0.78/10</f>
        <v>0.078</v>
      </c>
      <c r="AS72" s="75">
        <f>200/10</f>
        <v>20</v>
      </c>
      <c r="AT72" s="75" t="s">
        <v>7</v>
      </c>
      <c r="AU72" s="75">
        <f>0.59/10</f>
        <v>0.059</v>
      </c>
      <c r="AV72" s="75">
        <f>570/10</f>
        <v>57</v>
      </c>
      <c r="AW72" s="75" t="s">
        <v>7</v>
      </c>
      <c r="AX72" s="75">
        <f>85/10</f>
        <v>8.5</v>
      </c>
      <c r="AY72" s="75">
        <f>0.66/10</f>
        <v>0.066</v>
      </c>
      <c r="AZ72" s="75" t="s">
        <v>7</v>
      </c>
      <c r="BA72" s="75" t="s">
        <v>7</v>
      </c>
      <c r="BB72" s="80">
        <f>0.7/10*1000</f>
        <v>69.99999999999999</v>
      </c>
      <c r="BC72" s="75">
        <v>1.6</v>
      </c>
    </row>
    <row r="73" spans="1:55" ht="15">
      <c r="A73" s="73" t="s">
        <v>256</v>
      </c>
      <c r="B73" s="74" t="s">
        <v>132</v>
      </c>
      <c r="P73" s="75">
        <v>12.2</v>
      </c>
      <c r="Q73" s="79">
        <f t="shared" si="7"/>
        <v>9.728024193548388</v>
      </c>
      <c r="R73" s="79"/>
      <c r="S73" s="79"/>
      <c r="T73" s="79"/>
      <c r="U73" s="79"/>
      <c r="V73" s="79"/>
      <c r="W73" s="79"/>
      <c r="AN73" s="75" t="s">
        <v>7</v>
      </c>
      <c r="AO73" s="75">
        <f>45/10</f>
        <v>4.5</v>
      </c>
      <c r="AP73" s="75">
        <f>0.27/10</f>
        <v>0.027000000000000003</v>
      </c>
      <c r="AQ73" s="75">
        <v>1.2</v>
      </c>
      <c r="AR73" s="75">
        <f>0.42/10</f>
        <v>0.041999999999999996</v>
      </c>
      <c r="AS73" s="75">
        <f>130/10</f>
        <v>13</v>
      </c>
      <c r="AT73" s="75" t="s">
        <v>7</v>
      </c>
      <c r="AU73" s="80">
        <f>0.4/10</f>
        <v>0.04</v>
      </c>
      <c r="AV73" s="75">
        <f>490/10</f>
        <v>49</v>
      </c>
      <c r="AW73" s="75" t="s">
        <v>7</v>
      </c>
      <c r="AX73" s="75">
        <f>47/10</f>
        <v>4.7</v>
      </c>
      <c r="AY73" s="75">
        <f>0.44/10</f>
        <v>0.044</v>
      </c>
      <c r="AZ73" s="75" t="s">
        <v>7</v>
      </c>
      <c r="BA73" s="75" t="s">
        <v>7</v>
      </c>
      <c r="BB73" s="75">
        <f>0.93/10*1000</f>
        <v>93</v>
      </c>
      <c r="BC73" s="79">
        <v>2</v>
      </c>
    </row>
    <row r="74" spans="1:55" ht="15">
      <c r="A74" s="73" t="s">
        <v>256</v>
      </c>
      <c r="B74" s="74" t="s">
        <v>247</v>
      </c>
      <c r="P74" s="75">
        <v>12.1</v>
      </c>
      <c r="Q74" s="79">
        <f t="shared" si="7"/>
        <v>9.64828629032258</v>
      </c>
      <c r="R74" s="79"/>
      <c r="S74" s="79"/>
      <c r="T74" s="79"/>
      <c r="U74" s="79"/>
      <c r="V74" s="79"/>
      <c r="W74" s="79"/>
      <c r="AN74" s="75" t="s">
        <v>7</v>
      </c>
      <c r="AO74" s="75">
        <f>79/10</f>
        <v>7.9</v>
      </c>
      <c r="AP74" s="75">
        <f>0.21/10</f>
        <v>0.020999999999999998</v>
      </c>
      <c r="AQ74" s="75" t="s">
        <v>7</v>
      </c>
      <c r="AR74" s="80">
        <f>0.8/10</f>
        <v>0.08</v>
      </c>
      <c r="AS74" s="75">
        <f>190/10</f>
        <v>19</v>
      </c>
      <c r="AT74" s="75" t="s">
        <v>7</v>
      </c>
      <c r="AU74" s="75">
        <f>0.61/10</f>
        <v>0.061</v>
      </c>
      <c r="AV74" s="75">
        <f>700/10</f>
        <v>70</v>
      </c>
      <c r="AW74" s="75" t="s">
        <v>7</v>
      </c>
      <c r="AX74" s="75">
        <f>90/10</f>
        <v>9</v>
      </c>
      <c r="AY74" s="75">
        <f>0.82/10</f>
        <v>0.08199999999999999</v>
      </c>
      <c r="AZ74" s="75" t="s">
        <v>7</v>
      </c>
      <c r="BA74" s="75" t="s">
        <v>7</v>
      </c>
      <c r="BB74" s="75">
        <f>0.74/10*1000</f>
        <v>74</v>
      </c>
      <c r="BC74" s="75">
        <v>2.5</v>
      </c>
    </row>
    <row r="75" spans="1:55" ht="15">
      <c r="A75" s="73" t="s">
        <v>256</v>
      </c>
      <c r="B75" s="74" t="s">
        <v>207</v>
      </c>
      <c r="P75" s="75">
        <v>11.6</v>
      </c>
      <c r="Q75" s="79">
        <f t="shared" si="7"/>
        <v>9.249596774193547</v>
      </c>
      <c r="R75" s="79"/>
      <c r="S75" s="79"/>
      <c r="T75" s="79"/>
      <c r="U75" s="79"/>
      <c r="V75" s="79"/>
      <c r="W75" s="79"/>
      <c r="AN75" s="75" t="s">
        <v>7</v>
      </c>
      <c r="AO75" s="75">
        <f>75/10</f>
        <v>7.5</v>
      </c>
      <c r="AP75" s="75">
        <f>0.067/10</f>
        <v>0.0067</v>
      </c>
      <c r="AQ75" s="75" t="s">
        <v>7</v>
      </c>
      <c r="AR75" s="75">
        <f>0.84/10</f>
        <v>0.08399999999999999</v>
      </c>
      <c r="AS75" s="75">
        <f>200/10</f>
        <v>20</v>
      </c>
      <c r="AT75" s="75" t="s">
        <v>7</v>
      </c>
      <c r="AU75" s="75">
        <f>0.95/10</f>
        <v>0.095</v>
      </c>
      <c r="AV75" s="75">
        <f>600/10</f>
        <v>60</v>
      </c>
      <c r="AW75" s="75" t="s">
        <v>7</v>
      </c>
      <c r="AX75" s="75">
        <f>94/10</f>
        <v>9.4</v>
      </c>
      <c r="AY75" s="75">
        <f>0.96/10</f>
        <v>0.096</v>
      </c>
      <c r="AZ75" s="75" t="s">
        <v>7</v>
      </c>
      <c r="BA75" s="75" t="s">
        <v>7</v>
      </c>
      <c r="BB75" s="75">
        <f>0.32/10*1000</f>
        <v>32</v>
      </c>
      <c r="BC75" s="75">
        <v>2.9</v>
      </c>
    </row>
    <row r="76" spans="1:55" ht="15">
      <c r="A76" s="73" t="s">
        <v>256</v>
      </c>
      <c r="B76" s="74" t="s">
        <v>208</v>
      </c>
      <c r="P76" s="75">
        <v>13.2</v>
      </c>
      <c r="Q76" s="79">
        <f t="shared" si="7"/>
        <v>10.525403225806452</v>
      </c>
      <c r="R76" s="79"/>
      <c r="S76" s="79"/>
      <c r="T76" s="79"/>
      <c r="U76" s="79"/>
      <c r="V76" s="79"/>
      <c r="W76" s="79"/>
      <c r="AN76" s="75" t="s">
        <v>7</v>
      </c>
      <c r="AO76" s="75">
        <f>74/10</f>
        <v>7.4</v>
      </c>
      <c r="AP76" s="75">
        <f>0.041/10</f>
        <v>0.0041</v>
      </c>
      <c r="AQ76" s="75" t="s">
        <v>7</v>
      </c>
      <c r="AR76" s="75">
        <f>0.75/10</f>
        <v>0.075</v>
      </c>
      <c r="AS76" s="75">
        <f>230/10</f>
        <v>23</v>
      </c>
      <c r="AT76" s="75" t="s">
        <v>7</v>
      </c>
      <c r="AU76" s="75">
        <f>0.66/10</f>
        <v>0.066</v>
      </c>
      <c r="AV76" s="75">
        <f>610/10</f>
        <v>61</v>
      </c>
      <c r="AW76" s="75" t="s">
        <v>7</v>
      </c>
      <c r="AX76" s="75">
        <f>88/10</f>
        <v>8.8</v>
      </c>
      <c r="AY76" s="75">
        <f>1.6/10</f>
        <v>0.16</v>
      </c>
      <c r="AZ76" s="75" t="s">
        <v>7</v>
      </c>
      <c r="BA76" s="75" t="s">
        <v>7</v>
      </c>
      <c r="BB76" s="75">
        <f>0.62/10*1000</f>
        <v>62</v>
      </c>
      <c r="BC76" s="75">
        <v>3.6</v>
      </c>
    </row>
    <row r="77" spans="1:39" ht="15">
      <c r="A77" s="73" t="s">
        <v>257</v>
      </c>
      <c r="B77" s="74" t="s">
        <v>2</v>
      </c>
      <c r="C77" s="75">
        <v>0.993</v>
      </c>
      <c r="D77" s="75">
        <v>88.5</v>
      </c>
      <c r="E77" s="75" t="s">
        <v>3</v>
      </c>
      <c r="F77" s="75">
        <v>0.2</v>
      </c>
      <c r="G77" s="75">
        <v>0.31</v>
      </c>
      <c r="H77" s="75">
        <v>0.12</v>
      </c>
      <c r="I77" s="75" t="s">
        <v>6</v>
      </c>
      <c r="J77" s="75" t="s">
        <v>6</v>
      </c>
      <c r="K77" s="75" t="s">
        <v>6</v>
      </c>
      <c r="L77" s="75" t="s">
        <v>7</v>
      </c>
      <c r="O77" s="75">
        <v>0.1</v>
      </c>
      <c r="Q77" s="79"/>
      <c r="R77" s="78">
        <v>0.00986049</v>
      </c>
      <c r="S77" s="78">
        <v>0.05916294</v>
      </c>
      <c r="T77" s="78">
        <v>0.31553568</v>
      </c>
      <c r="U77" s="78">
        <v>0.24552620100000003</v>
      </c>
      <c r="V77" s="78" t="s">
        <v>244</v>
      </c>
      <c r="W77" s="78">
        <v>0.021693077999999998</v>
      </c>
      <c r="AG77" s="75" t="s">
        <v>7</v>
      </c>
      <c r="AM77" s="75">
        <v>1.5</v>
      </c>
    </row>
    <row r="78" spans="1:55" ht="15">
      <c r="A78" s="73" t="s">
        <v>257</v>
      </c>
      <c r="B78" s="74" t="s">
        <v>204</v>
      </c>
      <c r="P78" s="75">
        <v>11.3</v>
      </c>
      <c r="Q78" s="79">
        <f>(P78*0.791)/$C$77</f>
        <v>9.001309164149045</v>
      </c>
      <c r="R78" s="79"/>
      <c r="S78" s="79"/>
      <c r="T78" s="79"/>
      <c r="U78" s="79"/>
      <c r="V78" s="79"/>
      <c r="W78" s="79"/>
      <c r="AN78" s="75" t="s">
        <v>7</v>
      </c>
      <c r="AO78" s="75">
        <f>88/10</f>
        <v>8.8</v>
      </c>
      <c r="AP78" s="75">
        <f>0.15/10</f>
        <v>0.015</v>
      </c>
      <c r="AQ78" s="75" t="s">
        <v>7</v>
      </c>
      <c r="AR78" s="75">
        <f>0.72/10</f>
        <v>0.072</v>
      </c>
      <c r="AS78" s="75">
        <f>190/10</f>
        <v>19</v>
      </c>
      <c r="AT78" s="75" t="s">
        <v>7</v>
      </c>
      <c r="AU78" s="75">
        <f>0.77/10</f>
        <v>0.077</v>
      </c>
      <c r="AV78" s="75">
        <f>470/10</f>
        <v>47</v>
      </c>
      <c r="AW78" s="75" t="s">
        <v>7</v>
      </c>
      <c r="AX78" s="75">
        <f>97/10</f>
        <v>9.7</v>
      </c>
      <c r="AY78" s="75">
        <f>0.84/10</f>
        <v>0.08399999999999999</v>
      </c>
      <c r="AZ78" s="75" t="s">
        <v>7</v>
      </c>
      <c r="BA78" s="75" t="s">
        <v>7</v>
      </c>
      <c r="BB78" s="75">
        <f>0.23/10*1000</f>
        <v>23</v>
      </c>
      <c r="BC78" s="75">
        <v>4.9</v>
      </c>
    </row>
    <row r="79" spans="1:55" ht="15">
      <c r="A79" s="73" t="s">
        <v>257</v>
      </c>
      <c r="B79" s="74" t="s">
        <v>129</v>
      </c>
      <c r="P79" s="75">
        <v>12.3</v>
      </c>
      <c r="Q79" s="79">
        <f aca="true" t="shared" si="8" ref="Q79:Q85">(P79*0.791)/$C$77</f>
        <v>9.797885196374622</v>
      </c>
      <c r="R79" s="79"/>
      <c r="S79" s="79"/>
      <c r="T79" s="79"/>
      <c r="U79" s="79"/>
      <c r="V79" s="79"/>
      <c r="W79" s="79"/>
      <c r="AN79" s="75" t="s">
        <v>7</v>
      </c>
      <c r="AO79" s="75">
        <f>100/10</f>
        <v>10</v>
      </c>
      <c r="AP79" s="75">
        <f>0.065/10</f>
        <v>0.006500000000000001</v>
      </c>
      <c r="AQ79" s="75" t="s">
        <v>7</v>
      </c>
      <c r="AR79" s="75">
        <f>0.77/10</f>
        <v>0.077</v>
      </c>
      <c r="AS79" s="75">
        <f>210/10</f>
        <v>21</v>
      </c>
      <c r="AT79" s="75" t="s">
        <v>7</v>
      </c>
      <c r="AU79" s="75">
        <f>0.92/10</f>
        <v>0.092</v>
      </c>
      <c r="AV79" s="75">
        <f>370/10</f>
        <v>37</v>
      </c>
      <c r="AW79" s="75" t="s">
        <v>7</v>
      </c>
      <c r="AX79" s="75">
        <f>110/10</f>
        <v>11</v>
      </c>
      <c r="AY79" s="75">
        <f>0.86/10</f>
        <v>0.086</v>
      </c>
      <c r="AZ79" s="75">
        <f>0.016/10*1000</f>
        <v>1.6</v>
      </c>
      <c r="BA79" s="75" t="s">
        <v>7</v>
      </c>
      <c r="BB79" s="75">
        <f>0.35/10*1000</f>
        <v>34.99999999999999</v>
      </c>
      <c r="BC79" s="75">
        <v>3.8</v>
      </c>
    </row>
    <row r="80" spans="1:55" ht="15">
      <c r="A80" s="73" t="s">
        <v>257</v>
      </c>
      <c r="B80" s="74" t="s">
        <v>246</v>
      </c>
      <c r="P80" s="75">
        <v>12.1</v>
      </c>
      <c r="Q80" s="79">
        <f t="shared" si="8"/>
        <v>9.638569989929506</v>
      </c>
      <c r="R80" s="79"/>
      <c r="S80" s="79"/>
      <c r="T80" s="79"/>
      <c r="U80" s="79"/>
      <c r="V80" s="79"/>
      <c r="W80" s="79"/>
      <c r="AN80" s="75" t="s">
        <v>7</v>
      </c>
      <c r="AO80" s="75">
        <f>110/10</f>
        <v>11</v>
      </c>
      <c r="AP80" s="75">
        <f>0.66/10</f>
        <v>0.066</v>
      </c>
      <c r="AQ80" s="75">
        <v>1.4</v>
      </c>
      <c r="AR80" s="75">
        <f>0.98/10</f>
        <v>0.098</v>
      </c>
      <c r="AS80" s="75">
        <f>200/10</f>
        <v>20</v>
      </c>
      <c r="AT80" s="75" t="s">
        <v>7</v>
      </c>
      <c r="AU80" s="80">
        <f>0.7/10</f>
        <v>0.06999999999999999</v>
      </c>
      <c r="AV80" s="75">
        <f>360/10</f>
        <v>36</v>
      </c>
      <c r="AW80" s="75" t="s">
        <v>7</v>
      </c>
      <c r="AX80" s="75">
        <f>100/10</f>
        <v>10</v>
      </c>
      <c r="AY80" s="75">
        <f>0.75/10</f>
        <v>0.075</v>
      </c>
      <c r="AZ80" s="75">
        <f>0.022/10*1000</f>
        <v>2.1999999999999997</v>
      </c>
      <c r="BA80" s="75" t="s">
        <v>7</v>
      </c>
      <c r="BB80" s="75">
        <f>0.54/10*1000</f>
        <v>54.00000000000001</v>
      </c>
      <c r="BC80" s="75">
        <v>4.1</v>
      </c>
    </row>
    <row r="81" spans="1:55" ht="15">
      <c r="A81" s="73" t="s">
        <v>257</v>
      </c>
      <c r="B81" s="74" t="s">
        <v>206</v>
      </c>
      <c r="P81" s="75">
        <v>12.5</v>
      </c>
      <c r="Q81" s="79">
        <f t="shared" si="8"/>
        <v>9.957200402819739</v>
      </c>
      <c r="R81" s="79"/>
      <c r="S81" s="79"/>
      <c r="T81" s="79"/>
      <c r="U81" s="79"/>
      <c r="V81" s="79"/>
      <c r="W81" s="79"/>
      <c r="AN81" s="75" t="s">
        <v>7</v>
      </c>
      <c r="AO81" s="75">
        <f>94/10</f>
        <v>9.4</v>
      </c>
      <c r="AP81" s="75">
        <f>0.37/10</f>
        <v>0.037</v>
      </c>
      <c r="AQ81" s="75" t="s">
        <v>7</v>
      </c>
      <c r="AR81" s="75">
        <f>0.87/10</f>
        <v>0.087</v>
      </c>
      <c r="AS81" s="75">
        <f>310/10</f>
        <v>31</v>
      </c>
      <c r="AT81" s="75" t="s">
        <v>7</v>
      </c>
      <c r="AU81" s="75">
        <f>0.93/10</f>
        <v>0.093</v>
      </c>
      <c r="AV81" s="75">
        <f>480/10</f>
        <v>48</v>
      </c>
      <c r="AW81" s="75" t="s">
        <v>7</v>
      </c>
      <c r="AX81" s="75">
        <f>120/10</f>
        <v>12</v>
      </c>
      <c r="AY81" s="80">
        <f>0.8/10</f>
        <v>0.08</v>
      </c>
      <c r="AZ81" s="78">
        <f>0.01/10*1000</f>
        <v>1</v>
      </c>
      <c r="BA81" s="75" t="s">
        <v>7</v>
      </c>
      <c r="BB81" s="75">
        <f>0.29/10*1000</f>
        <v>28.999999999999996</v>
      </c>
      <c r="BC81" s="75">
        <v>4.5</v>
      </c>
    </row>
    <row r="82" spans="1:55" ht="15">
      <c r="A82" s="73" t="s">
        <v>257</v>
      </c>
      <c r="B82" s="74" t="s">
        <v>132</v>
      </c>
      <c r="P82" s="75">
        <v>12</v>
      </c>
      <c r="Q82" s="79">
        <f t="shared" si="8"/>
        <v>9.55891238670695</v>
      </c>
      <c r="R82" s="79"/>
      <c r="S82" s="79"/>
      <c r="T82" s="79"/>
      <c r="U82" s="79"/>
      <c r="V82" s="79"/>
      <c r="W82" s="79"/>
      <c r="AN82" s="75" t="s">
        <v>7</v>
      </c>
      <c r="AO82" s="75">
        <f>100/10</f>
        <v>10</v>
      </c>
      <c r="AP82" s="75">
        <f>0.11/10</f>
        <v>0.011</v>
      </c>
      <c r="AQ82" s="75" t="s">
        <v>7</v>
      </c>
      <c r="AR82" s="75">
        <f>0.45/10</f>
        <v>0.045</v>
      </c>
      <c r="AS82" s="75">
        <f>300/10</f>
        <v>30</v>
      </c>
      <c r="AT82" s="75" t="s">
        <v>7</v>
      </c>
      <c r="AU82" s="80">
        <f>0.6/10</f>
        <v>0.06</v>
      </c>
      <c r="AV82" s="75">
        <f>410/10</f>
        <v>41</v>
      </c>
      <c r="AW82" s="75" t="s">
        <v>7</v>
      </c>
      <c r="AX82" s="75">
        <f>100/10</f>
        <v>10</v>
      </c>
      <c r="AY82" s="75">
        <f>0.41/10</f>
        <v>0.040999999999999995</v>
      </c>
      <c r="AZ82" s="75" t="s">
        <v>7</v>
      </c>
      <c r="BA82" s="75" t="s">
        <v>7</v>
      </c>
      <c r="BB82" s="75">
        <f>0.24/10*1000</f>
        <v>24</v>
      </c>
      <c r="BC82" s="75">
        <v>6.7</v>
      </c>
    </row>
    <row r="83" spans="1:55" ht="15">
      <c r="A83" s="73" t="s">
        <v>257</v>
      </c>
      <c r="B83" s="74" t="s">
        <v>247</v>
      </c>
      <c r="P83" s="75">
        <v>13.4</v>
      </c>
      <c r="Q83" s="79">
        <f t="shared" si="8"/>
        <v>10.67411883182276</v>
      </c>
      <c r="R83" s="79"/>
      <c r="S83" s="79"/>
      <c r="T83" s="79"/>
      <c r="U83" s="79"/>
      <c r="V83" s="79"/>
      <c r="W83" s="79"/>
      <c r="AN83" s="75" t="s">
        <v>7</v>
      </c>
      <c r="AO83" s="75">
        <f>110/10</f>
        <v>11</v>
      </c>
      <c r="AP83" s="75">
        <f>0.22/10</f>
        <v>0.022</v>
      </c>
      <c r="AQ83" s="75">
        <v>1.6</v>
      </c>
      <c r="AR83" s="75">
        <f>0.42/10</f>
        <v>0.041999999999999996</v>
      </c>
      <c r="AS83" s="75">
        <f>190/10</f>
        <v>19</v>
      </c>
      <c r="AT83" s="75" t="s">
        <v>7</v>
      </c>
      <c r="AU83" s="75">
        <f>0.63/10</f>
        <v>0.063</v>
      </c>
      <c r="AV83" s="75">
        <f>500/10</f>
        <v>50</v>
      </c>
      <c r="AW83" s="75" t="s">
        <v>7</v>
      </c>
      <c r="AX83" s="75">
        <v>99</v>
      </c>
      <c r="AY83" s="75">
        <f>0.59/10</f>
        <v>0.059</v>
      </c>
      <c r="AZ83" s="75" t="s">
        <v>7</v>
      </c>
      <c r="BA83" s="75" t="s">
        <v>7</v>
      </c>
      <c r="BB83" s="75">
        <f>0.71/10*1000</f>
        <v>71</v>
      </c>
      <c r="BC83" s="75">
        <v>4.8</v>
      </c>
    </row>
    <row r="84" spans="1:55" ht="15">
      <c r="A84" s="73" t="s">
        <v>257</v>
      </c>
      <c r="B84" s="74" t="s">
        <v>207</v>
      </c>
      <c r="P84" s="75">
        <v>12.2</v>
      </c>
      <c r="Q84" s="79">
        <f t="shared" si="8"/>
        <v>9.718227593152065</v>
      </c>
      <c r="R84" s="79"/>
      <c r="S84" s="79"/>
      <c r="T84" s="79"/>
      <c r="U84" s="79"/>
      <c r="V84" s="79"/>
      <c r="W84" s="79"/>
      <c r="AN84" s="75" t="s">
        <v>7</v>
      </c>
      <c r="AO84" s="75">
        <f>110/10</f>
        <v>11</v>
      </c>
      <c r="AP84" s="75">
        <f>0.34/10</f>
        <v>0.034</v>
      </c>
      <c r="AQ84" s="75">
        <v>1.3</v>
      </c>
      <c r="AR84" s="80">
        <f>0.7/10</f>
        <v>0.06999999999999999</v>
      </c>
      <c r="AS84" s="75">
        <f>200/10</f>
        <v>20</v>
      </c>
      <c r="AT84" s="75" t="s">
        <v>7</v>
      </c>
      <c r="AU84" s="75">
        <f>0.72/10</f>
        <v>0.072</v>
      </c>
      <c r="AV84" s="75">
        <f>350/10</f>
        <v>35</v>
      </c>
      <c r="AW84" s="75" t="s">
        <v>7</v>
      </c>
      <c r="AX84" s="75">
        <f>110/10</f>
        <v>11</v>
      </c>
      <c r="AY84" s="75">
        <f>1.3/10</f>
        <v>0.13</v>
      </c>
      <c r="AZ84" s="75">
        <f>0.022/10*1000</f>
        <v>2.1999999999999997</v>
      </c>
      <c r="BA84" s="75" t="s">
        <v>7</v>
      </c>
      <c r="BB84" s="75">
        <f>0.55/10*1000</f>
        <v>55.00000000000001</v>
      </c>
      <c r="BC84" s="75">
        <v>4.1</v>
      </c>
    </row>
    <row r="85" spans="1:55" ht="15">
      <c r="A85" s="73" t="s">
        <v>257</v>
      </c>
      <c r="B85" s="74" t="s">
        <v>208</v>
      </c>
      <c r="P85" s="75">
        <v>10.7</v>
      </c>
      <c r="Q85" s="79">
        <f t="shared" si="8"/>
        <v>8.523363544813694</v>
      </c>
      <c r="R85" s="79"/>
      <c r="S85" s="79"/>
      <c r="T85" s="79"/>
      <c r="U85" s="79"/>
      <c r="V85" s="79"/>
      <c r="W85" s="79"/>
      <c r="AN85" s="75" t="s">
        <v>7</v>
      </c>
      <c r="AO85" s="75">
        <f>120/10</f>
        <v>12</v>
      </c>
      <c r="AP85" s="75">
        <f>0.39/10</f>
        <v>0.039</v>
      </c>
      <c r="AQ85" s="75">
        <v>1.4</v>
      </c>
      <c r="AR85" s="75">
        <f>0.98/10</f>
        <v>0.098</v>
      </c>
      <c r="AS85" s="75">
        <f>230/10</f>
        <v>23</v>
      </c>
      <c r="AT85" s="75" t="s">
        <v>7</v>
      </c>
      <c r="AU85" s="75">
        <f>0.93/10</f>
        <v>0.093</v>
      </c>
      <c r="AV85" s="75">
        <f>580/10</f>
        <v>58</v>
      </c>
      <c r="AW85" s="75" t="s">
        <v>7</v>
      </c>
      <c r="AX85" s="75">
        <f>100/10</f>
        <v>10</v>
      </c>
      <c r="AY85" s="79">
        <f>1/10</f>
        <v>0.1</v>
      </c>
      <c r="AZ85" s="75">
        <f>0.013/10*1000</f>
        <v>1.3</v>
      </c>
      <c r="BA85" s="75" t="s">
        <v>7</v>
      </c>
      <c r="BB85" s="75">
        <f>0.41/10*1000</f>
        <v>40.99999999999999</v>
      </c>
      <c r="BC85" s="75">
        <v>8.9</v>
      </c>
    </row>
    <row r="86" spans="1:39" ht="15">
      <c r="A86" s="73" t="s">
        <v>258</v>
      </c>
      <c r="B86" s="74" t="s">
        <v>2</v>
      </c>
      <c r="C86" s="75">
        <v>0.995</v>
      </c>
      <c r="D86" s="75">
        <v>88.3</v>
      </c>
      <c r="E86" s="75" t="s">
        <v>3</v>
      </c>
      <c r="F86" s="75">
        <v>0.2</v>
      </c>
      <c r="G86" s="80">
        <v>0.5</v>
      </c>
      <c r="H86" s="75">
        <v>0.47</v>
      </c>
      <c r="I86" s="75" t="s">
        <v>6</v>
      </c>
      <c r="J86" s="75" t="s">
        <v>6</v>
      </c>
      <c r="K86" s="75" t="s">
        <v>6</v>
      </c>
      <c r="L86" s="75">
        <v>1</v>
      </c>
      <c r="O86" s="75">
        <v>0.1</v>
      </c>
      <c r="Q86" s="79"/>
      <c r="R86" s="78">
        <v>0.2574065</v>
      </c>
      <c r="S86" s="78">
        <v>0.049501250000000004</v>
      </c>
      <c r="T86" s="78">
        <v>0.32670825</v>
      </c>
      <c r="U86" s="78">
        <v>0.040591024999999996</v>
      </c>
      <c r="V86" s="78" t="s">
        <v>244</v>
      </c>
      <c r="W86" s="78">
        <v>0.019800500000000002</v>
      </c>
      <c r="AG86" s="75" t="s">
        <v>7</v>
      </c>
      <c r="AM86" s="75" t="s">
        <v>7</v>
      </c>
    </row>
    <row r="87" spans="1:55" ht="15">
      <c r="A87" s="73" t="s">
        <v>258</v>
      </c>
      <c r="B87" s="74" t="s">
        <v>204</v>
      </c>
      <c r="P87" s="75">
        <v>11.3</v>
      </c>
      <c r="Q87" s="79">
        <f>(P87*0.791)/$C$86</f>
        <v>8.983216080402011</v>
      </c>
      <c r="R87" s="79"/>
      <c r="S87" s="79"/>
      <c r="T87" s="79"/>
      <c r="U87" s="79"/>
      <c r="V87" s="79"/>
      <c r="W87" s="79"/>
      <c r="AN87" s="75" t="s">
        <v>7</v>
      </c>
      <c r="AO87" s="75">
        <f>88/10</f>
        <v>8.8</v>
      </c>
      <c r="AP87" s="75">
        <f>0.14/10</f>
        <v>0.014000000000000002</v>
      </c>
      <c r="AQ87" s="75" t="s">
        <v>7</v>
      </c>
      <c r="AR87" s="75">
        <f>0.99/10</f>
        <v>0.099</v>
      </c>
      <c r="AS87" s="75">
        <f>230/10</f>
        <v>23</v>
      </c>
      <c r="AT87" s="75" t="s">
        <v>7</v>
      </c>
      <c r="AU87" s="75">
        <f>0.85/10</f>
        <v>0.08499999999999999</v>
      </c>
      <c r="AV87" s="75">
        <f>480/10</f>
        <v>48</v>
      </c>
      <c r="AW87" s="75" t="s">
        <v>7</v>
      </c>
      <c r="AX87" s="75">
        <f>87/10</f>
        <v>8.7</v>
      </c>
      <c r="AY87" s="75">
        <f>0.44/10</f>
        <v>0.044</v>
      </c>
      <c r="AZ87" s="75" t="s">
        <v>7</v>
      </c>
      <c r="BA87" s="75" t="s">
        <v>7</v>
      </c>
      <c r="BB87" s="75">
        <f>0.43/10*1000</f>
        <v>43</v>
      </c>
      <c r="BC87" s="75">
        <v>3.1</v>
      </c>
    </row>
    <row r="88" spans="1:55" ht="15">
      <c r="A88" s="73" t="s">
        <v>258</v>
      </c>
      <c r="B88" s="74" t="s">
        <v>129</v>
      </c>
      <c r="P88" s="75">
        <v>12.4</v>
      </c>
      <c r="Q88" s="79">
        <f aca="true" t="shared" si="9" ref="Q88:Q94">(P88*0.791)/$C$86</f>
        <v>9.857688442211057</v>
      </c>
      <c r="R88" s="79"/>
      <c r="S88" s="79"/>
      <c r="T88" s="79"/>
      <c r="U88" s="79"/>
      <c r="V88" s="79"/>
      <c r="W88" s="79"/>
      <c r="AN88" s="75" t="s">
        <v>7</v>
      </c>
      <c r="AO88" s="75">
        <f>70/10</f>
        <v>7</v>
      </c>
      <c r="AP88" s="75">
        <f>0.015/10</f>
        <v>0.0015</v>
      </c>
      <c r="AQ88" s="75" t="s">
        <v>7</v>
      </c>
      <c r="AR88" s="79">
        <f>1/10</f>
        <v>0.1</v>
      </c>
      <c r="AS88" s="75">
        <f>200/10</f>
        <v>20</v>
      </c>
      <c r="AT88" s="75" t="s">
        <v>7</v>
      </c>
      <c r="AU88" s="75">
        <f>0.91/10</f>
        <v>0.091</v>
      </c>
      <c r="AV88" s="75">
        <f>420/10</f>
        <v>42</v>
      </c>
      <c r="AW88" s="75" t="s">
        <v>7</v>
      </c>
      <c r="AX88" s="75">
        <f>88/10</f>
        <v>8.8</v>
      </c>
      <c r="AY88" s="75">
        <f>1.3/10</f>
        <v>0.13</v>
      </c>
      <c r="AZ88" s="75">
        <f>0.011/10*1000</f>
        <v>1.0999999999999999</v>
      </c>
      <c r="BA88" s="75" t="s">
        <v>7</v>
      </c>
      <c r="BB88" s="75">
        <f>0.55/10*1000</f>
        <v>55.00000000000001</v>
      </c>
      <c r="BC88" s="75">
        <v>1.2</v>
      </c>
    </row>
    <row r="89" spans="1:55" ht="15">
      <c r="A89" s="73" t="s">
        <v>258</v>
      </c>
      <c r="B89" s="74" t="s">
        <v>246</v>
      </c>
      <c r="P89" s="75">
        <v>11.7</v>
      </c>
      <c r="Q89" s="79">
        <f t="shared" si="9"/>
        <v>9.301206030150754</v>
      </c>
      <c r="R89" s="79"/>
      <c r="S89" s="79"/>
      <c r="T89" s="79"/>
      <c r="U89" s="79"/>
      <c r="V89" s="79"/>
      <c r="W89" s="79"/>
      <c r="AN89" s="75" t="s">
        <v>7</v>
      </c>
      <c r="AO89" s="75">
        <f>65/10</f>
        <v>6.5</v>
      </c>
      <c r="AP89" s="75">
        <f>0.17/10</f>
        <v>0.017</v>
      </c>
      <c r="AQ89" s="75" t="s">
        <v>7</v>
      </c>
      <c r="AR89" s="75">
        <f>0.94/10</f>
        <v>0.094</v>
      </c>
      <c r="AS89" s="75">
        <f>200/10</f>
        <v>20</v>
      </c>
      <c r="AT89" s="75" t="s">
        <v>7</v>
      </c>
      <c r="AU89" s="75">
        <f>1.2/10</f>
        <v>0.12</v>
      </c>
      <c r="AV89" s="75">
        <f>330/10</f>
        <v>33</v>
      </c>
      <c r="AW89" s="75" t="s">
        <v>7</v>
      </c>
      <c r="AX89" s="75">
        <f>110/10</f>
        <v>11</v>
      </c>
      <c r="AY89" s="75">
        <f>0.51/10</f>
        <v>0.051000000000000004</v>
      </c>
      <c r="AZ89" s="75">
        <f>0.011/10*1000</f>
        <v>1.0999999999999999</v>
      </c>
      <c r="BA89" s="75" t="s">
        <v>7</v>
      </c>
      <c r="BB89" s="75">
        <f>0.34/10*1000</f>
        <v>34</v>
      </c>
      <c r="BC89" s="75">
        <v>3.4</v>
      </c>
    </row>
    <row r="90" spans="1:55" ht="15">
      <c r="A90" s="73" t="s">
        <v>258</v>
      </c>
      <c r="B90" s="74" t="s">
        <v>206</v>
      </c>
      <c r="P90" s="75">
        <v>13.2</v>
      </c>
      <c r="Q90" s="79">
        <f t="shared" si="9"/>
        <v>10.493668341708544</v>
      </c>
      <c r="R90" s="79"/>
      <c r="S90" s="79"/>
      <c r="T90" s="79"/>
      <c r="U90" s="79"/>
      <c r="V90" s="79"/>
      <c r="W90" s="79"/>
      <c r="AN90" s="75" t="s">
        <v>7</v>
      </c>
      <c r="AO90" s="75">
        <f>76/10</f>
        <v>7.6</v>
      </c>
      <c r="AP90" s="75">
        <f>0.22/10</f>
        <v>0.022</v>
      </c>
      <c r="AQ90" s="75" t="s">
        <v>7</v>
      </c>
      <c r="AR90" s="75">
        <f>0.86/10</f>
        <v>0.086</v>
      </c>
      <c r="AS90" s="75">
        <f>210/10</f>
        <v>21</v>
      </c>
      <c r="AT90" s="75" t="s">
        <v>7</v>
      </c>
      <c r="AU90" s="75">
        <f>0.83/10</f>
        <v>0.08299999999999999</v>
      </c>
      <c r="AV90" s="75">
        <f>350/10</f>
        <v>35</v>
      </c>
      <c r="AW90" s="75" t="s">
        <v>7</v>
      </c>
      <c r="AX90" s="75">
        <f>120/10</f>
        <v>12</v>
      </c>
      <c r="AY90" s="75">
        <f>1.6/10</f>
        <v>0.16</v>
      </c>
      <c r="AZ90" s="75" t="s">
        <v>7</v>
      </c>
      <c r="BA90" s="75" t="s">
        <v>7</v>
      </c>
      <c r="BB90" s="75">
        <f>0.42/10*1000</f>
        <v>41.99999999999999</v>
      </c>
      <c r="BC90" s="75">
        <v>2.1</v>
      </c>
    </row>
    <row r="91" spans="1:55" ht="15">
      <c r="A91" s="73" t="s">
        <v>258</v>
      </c>
      <c r="B91" s="74" t="s">
        <v>132</v>
      </c>
      <c r="P91" s="75">
        <v>12</v>
      </c>
      <c r="Q91" s="79">
        <f t="shared" si="9"/>
        <v>9.539698492462312</v>
      </c>
      <c r="R91" s="79"/>
      <c r="S91" s="79"/>
      <c r="T91" s="79"/>
      <c r="U91" s="79"/>
      <c r="V91" s="79"/>
      <c r="W91" s="79"/>
      <c r="AN91" s="75" t="s">
        <v>7</v>
      </c>
      <c r="AO91" s="75">
        <f>51/10</f>
        <v>5.1</v>
      </c>
      <c r="AP91" s="75">
        <f>0.41/10</f>
        <v>0.040999999999999995</v>
      </c>
      <c r="AQ91" s="75" t="s">
        <v>7</v>
      </c>
      <c r="AR91" s="75">
        <f>1.2/10</f>
        <v>0.12</v>
      </c>
      <c r="AS91" s="75">
        <f>300/10</f>
        <v>30</v>
      </c>
      <c r="AT91" s="75" t="s">
        <v>7</v>
      </c>
      <c r="AU91" s="75">
        <f>0.72/10</f>
        <v>0.072</v>
      </c>
      <c r="AV91" s="75">
        <f>260/10</f>
        <v>26</v>
      </c>
      <c r="AW91" s="75" t="s">
        <v>7</v>
      </c>
      <c r="AX91" s="75">
        <f>98/10</f>
        <v>9.8</v>
      </c>
      <c r="AY91" s="75">
        <v>0.83</v>
      </c>
      <c r="AZ91" s="75" t="s">
        <v>7</v>
      </c>
      <c r="BA91" s="75" t="s">
        <v>7</v>
      </c>
      <c r="BB91" s="75">
        <f>0.26/10*1000</f>
        <v>26.000000000000004</v>
      </c>
      <c r="BC91" s="75">
        <v>2.2</v>
      </c>
    </row>
    <row r="92" spans="1:55" ht="15">
      <c r="A92" s="73" t="s">
        <v>258</v>
      </c>
      <c r="B92" s="74" t="s">
        <v>247</v>
      </c>
      <c r="P92" s="75">
        <v>12.4</v>
      </c>
      <c r="Q92" s="79">
        <f t="shared" si="9"/>
        <v>9.857688442211057</v>
      </c>
      <c r="R92" s="79"/>
      <c r="S92" s="79"/>
      <c r="T92" s="79"/>
      <c r="U92" s="79"/>
      <c r="V92" s="79"/>
      <c r="W92" s="79"/>
      <c r="AN92" s="75" t="s">
        <v>7</v>
      </c>
      <c r="AO92" s="75">
        <f>65/10</f>
        <v>6.5</v>
      </c>
      <c r="AP92" s="75">
        <f>0.41/10</f>
        <v>0.040999999999999995</v>
      </c>
      <c r="AQ92" s="75">
        <v>1.1</v>
      </c>
      <c r="AR92" s="75">
        <f>1.3/10</f>
        <v>0.13</v>
      </c>
      <c r="AS92" s="75">
        <f>250/10</f>
        <v>25</v>
      </c>
      <c r="AT92" s="75" t="s">
        <v>7</v>
      </c>
      <c r="AU92" s="75">
        <f>0.79/10</f>
        <v>0.079</v>
      </c>
      <c r="AV92" s="75">
        <f>270/10</f>
        <v>27</v>
      </c>
      <c r="AW92" s="75" t="s">
        <v>7</v>
      </c>
      <c r="AX92" s="75">
        <f>99/10</f>
        <v>9.9</v>
      </c>
      <c r="AY92" s="75">
        <f>1.7/10</f>
        <v>0.16999999999999998</v>
      </c>
      <c r="AZ92" s="75">
        <f>0.011/10*1000</f>
        <v>1.0999999999999999</v>
      </c>
      <c r="BA92" s="75" t="s">
        <v>7</v>
      </c>
      <c r="BB92" s="75">
        <f>0.56/10*1000</f>
        <v>56.00000000000001</v>
      </c>
      <c r="BC92" s="79">
        <v>3</v>
      </c>
    </row>
    <row r="93" spans="1:55" ht="15">
      <c r="A93" s="73" t="s">
        <v>258</v>
      </c>
      <c r="B93" s="74" t="s">
        <v>207</v>
      </c>
      <c r="P93" s="75">
        <v>12.3</v>
      </c>
      <c r="Q93" s="79">
        <f t="shared" si="9"/>
        <v>9.77819095477387</v>
      </c>
      <c r="R93" s="79"/>
      <c r="S93" s="79"/>
      <c r="T93" s="79"/>
      <c r="U93" s="79"/>
      <c r="V93" s="79"/>
      <c r="W93" s="79"/>
      <c r="AN93" s="75" t="s">
        <v>7</v>
      </c>
      <c r="AO93" s="75">
        <f>75/10</f>
        <v>7.5</v>
      </c>
      <c r="AP93" s="75">
        <f>0.021/10</f>
        <v>0.0021000000000000003</v>
      </c>
      <c r="AQ93" s="75" t="s">
        <v>7</v>
      </c>
      <c r="AR93" s="75">
        <f>0.61/10</f>
        <v>0.061</v>
      </c>
      <c r="AS93" s="75">
        <f>120/10</f>
        <v>12</v>
      </c>
      <c r="AT93" s="75" t="s">
        <v>7</v>
      </c>
      <c r="AU93" s="75">
        <f>0.47/10</f>
        <v>0.047</v>
      </c>
      <c r="AV93" s="75">
        <f>360/10</f>
        <v>36</v>
      </c>
      <c r="AW93" s="75" t="s">
        <v>7</v>
      </c>
      <c r="AX93" s="75">
        <f>65/10</f>
        <v>6.5</v>
      </c>
      <c r="AY93" s="75">
        <f>0.88/10</f>
        <v>0.088</v>
      </c>
      <c r="AZ93" s="75" t="s">
        <v>7</v>
      </c>
      <c r="BA93" s="75" t="s">
        <v>7</v>
      </c>
      <c r="BB93" s="75">
        <f>0.42/10*1000</f>
        <v>41.99999999999999</v>
      </c>
      <c r="BC93" s="79">
        <v>1</v>
      </c>
    </row>
    <row r="94" spans="1:55" ht="15">
      <c r="A94" s="73" t="s">
        <v>258</v>
      </c>
      <c r="B94" s="74" t="s">
        <v>208</v>
      </c>
      <c r="P94" s="75">
        <v>12.7</v>
      </c>
      <c r="Q94" s="79">
        <f t="shared" si="9"/>
        <v>10.096180904522614</v>
      </c>
      <c r="R94" s="79"/>
      <c r="S94" s="79"/>
      <c r="T94" s="79"/>
      <c r="U94" s="79"/>
      <c r="V94" s="79"/>
      <c r="W94" s="79"/>
      <c r="AN94" s="75" t="s">
        <v>7</v>
      </c>
      <c r="AO94" s="75">
        <f>60/10</f>
        <v>6</v>
      </c>
      <c r="AP94" s="75">
        <f>0.015/10</f>
        <v>0.0015</v>
      </c>
      <c r="AQ94" s="75" t="s">
        <v>7</v>
      </c>
      <c r="AR94" s="75">
        <f>0.54/10</f>
        <v>0.054000000000000006</v>
      </c>
      <c r="AS94" s="75">
        <f>120/10</f>
        <v>12</v>
      </c>
      <c r="AT94" s="75" t="s">
        <v>7</v>
      </c>
      <c r="AU94" s="75">
        <f>0.47/10</f>
        <v>0.047</v>
      </c>
      <c r="AV94" s="75">
        <f>360/10</f>
        <v>36</v>
      </c>
      <c r="AW94" s="75" t="s">
        <v>7</v>
      </c>
      <c r="AX94" s="75">
        <f>63/10</f>
        <v>6.3</v>
      </c>
      <c r="AY94" s="75">
        <f>0.84/10</f>
        <v>0.08399999999999999</v>
      </c>
      <c r="AZ94" s="75">
        <f>0.012/10*1000</f>
        <v>1.2000000000000002</v>
      </c>
      <c r="BA94" s="75" t="s">
        <v>7</v>
      </c>
      <c r="BB94" s="75">
        <f>0.48/10*1000</f>
        <v>48</v>
      </c>
      <c r="BC94" s="75" t="s">
        <v>7</v>
      </c>
    </row>
    <row r="95" spans="1:39" ht="15" customHeight="1">
      <c r="A95" s="73" t="s">
        <v>259</v>
      </c>
      <c r="B95" s="74" t="s">
        <v>2</v>
      </c>
      <c r="C95" s="75">
        <v>1.066</v>
      </c>
      <c r="D95" s="77">
        <v>71.2</v>
      </c>
      <c r="E95" s="75" t="s">
        <v>3</v>
      </c>
      <c r="F95" s="75">
        <v>0.4</v>
      </c>
      <c r="G95" s="75">
        <v>9.1</v>
      </c>
      <c r="H95" s="75">
        <v>5.6</v>
      </c>
      <c r="I95" s="75" t="s">
        <v>3</v>
      </c>
      <c r="J95" s="75" t="s">
        <v>3</v>
      </c>
      <c r="K95" s="75" t="s">
        <v>3</v>
      </c>
      <c r="L95" s="77">
        <v>15</v>
      </c>
      <c r="O95" s="75">
        <v>0.4</v>
      </c>
      <c r="Q95" s="79"/>
      <c r="R95" s="78">
        <v>0.04545424000000001</v>
      </c>
      <c r="S95" s="78" t="s">
        <v>244</v>
      </c>
      <c r="T95" s="78">
        <v>0.27272544000000004</v>
      </c>
      <c r="U95" s="78">
        <v>0.736358688</v>
      </c>
      <c r="V95" s="78" t="s">
        <v>244</v>
      </c>
      <c r="W95" s="78">
        <v>0.135226364</v>
      </c>
      <c r="AG95" s="75" t="s">
        <v>7</v>
      </c>
      <c r="AM95" s="75">
        <v>1.8</v>
      </c>
    </row>
    <row r="96" spans="1:55" ht="15">
      <c r="A96" s="73" t="s">
        <v>259</v>
      </c>
      <c r="B96" s="74" t="s">
        <v>204</v>
      </c>
      <c r="P96" s="75">
        <v>11.4</v>
      </c>
      <c r="Q96" s="79">
        <f>(P96*0.791)/$C$95</f>
        <v>8.459099437148218</v>
      </c>
      <c r="R96" s="79"/>
      <c r="S96" s="79"/>
      <c r="T96" s="79"/>
      <c r="U96" s="79"/>
      <c r="V96" s="79"/>
      <c r="W96" s="79"/>
      <c r="AN96" s="75">
        <f>0.016/10*1000</f>
        <v>1.6</v>
      </c>
      <c r="AO96" s="75">
        <f>160/10</f>
        <v>16</v>
      </c>
      <c r="AP96" s="75">
        <f>0.18/10</f>
        <v>0.018</v>
      </c>
      <c r="AQ96" s="75">
        <v>1.6</v>
      </c>
      <c r="AR96" s="75">
        <f>2.1/10</f>
        <v>0.21000000000000002</v>
      </c>
      <c r="AS96" s="75">
        <f>380/10</f>
        <v>38</v>
      </c>
      <c r="AT96" s="75" t="s">
        <v>7</v>
      </c>
      <c r="AU96" s="75">
        <f>0.74/10</f>
        <v>0.074</v>
      </c>
      <c r="AV96" s="75">
        <f>1000/10</f>
        <v>100</v>
      </c>
      <c r="AW96" s="75" t="s">
        <v>7</v>
      </c>
      <c r="AX96" s="75">
        <f>180/10</f>
        <v>18</v>
      </c>
      <c r="AY96" s="75">
        <f>1.4/10</f>
        <v>0.13999999999999999</v>
      </c>
      <c r="AZ96" s="75">
        <f>0.016/10*1000</f>
        <v>1.6</v>
      </c>
      <c r="BA96" s="75" t="s">
        <v>7</v>
      </c>
      <c r="BB96" s="75">
        <f>0.97/10*1000</f>
        <v>97</v>
      </c>
      <c r="BC96" s="79">
        <v>7</v>
      </c>
    </row>
    <row r="97" spans="1:55" ht="15">
      <c r="A97" s="73" t="s">
        <v>259</v>
      </c>
      <c r="B97" s="74" t="s">
        <v>129</v>
      </c>
      <c r="P97" s="75">
        <v>11.1</v>
      </c>
      <c r="Q97" s="79">
        <f aca="true" t="shared" si="10" ref="Q97:Q103">(P97*0.791)/$C$95</f>
        <v>8.236491557223266</v>
      </c>
      <c r="R97" s="79"/>
      <c r="S97" s="79"/>
      <c r="T97" s="79"/>
      <c r="U97" s="79"/>
      <c r="V97" s="79"/>
      <c r="W97" s="79"/>
      <c r="AN97" s="75">
        <f>0.026/10*1000</f>
        <v>2.6</v>
      </c>
      <c r="AO97" s="75">
        <f>180/10</f>
        <v>18</v>
      </c>
      <c r="AP97" s="75">
        <f>0.031/10</f>
        <v>0.0031</v>
      </c>
      <c r="AQ97" s="75">
        <v>2.9</v>
      </c>
      <c r="AR97" s="75">
        <f>2.9/10</f>
        <v>0.29</v>
      </c>
      <c r="AS97" s="75">
        <f>540/10</f>
        <v>54</v>
      </c>
      <c r="AT97" s="75" t="s">
        <v>7</v>
      </c>
      <c r="AU97" s="80">
        <f>0.6/10</f>
        <v>0.06</v>
      </c>
      <c r="AV97" s="75">
        <f>1600/10</f>
        <v>160</v>
      </c>
      <c r="AW97" s="75">
        <f>0.016/10*1000</f>
        <v>1.6</v>
      </c>
      <c r="AX97" s="75">
        <f>210/10</f>
        <v>21</v>
      </c>
      <c r="AY97" s="75">
        <f>3.9/10</f>
        <v>0.39</v>
      </c>
      <c r="AZ97" s="75">
        <f>0.023/10*1000</f>
        <v>2.3</v>
      </c>
      <c r="BA97" s="75" t="s">
        <v>7</v>
      </c>
      <c r="BB97" s="82">
        <f>2/10*1000</f>
        <v>200</v>
      </c>
      <c r="BC97" s="75">
        <v>11</v>
      </c>
    </row>
    <row r="98" spans="1:55" ht="15">
      <c r="A98" s="73" t="s">
        <v>259</v>
      </c>
      <c r="B98" s="74" t="s">
        <v>246</v>
      </c>
      <c r="P98" s="75">
        <v>9.8</v>
      </c>
      <c r="Q98" s="79">
        <f t="shared" si="10"/>
        <v>7.271857410881802</v>
      </c>
      <c r="R98" s="79"/>
      <c r="S98" s="79"/>
      <c r="T98" s="79"/>
      <c r="U98" s="79"/>
      <c r="V98" s="79"/>
      <c r="W98" s="79"/>
      <c r="AN98" s="75">
        <f>0.023/10*1000</f>
        <v>2.3</v>
      </c>
      <c r="AO98" s="75">
        <f>170/10</f>
        <v>17</v>
      </c>
      <c r="AP98" s="75">
        <f>0.024/10</f>
        <v>0.0024000000000000002</v>
      </c>
      <c r="AQ98" s="75">
        <v>1.9</v>
      </c>
      <c r="AR98" s="75">
        <f>1.7/10</f>
        <v>0.16999999999999998</v>
      </c>
      <c r="AS98" s="75">
        <f>480/10</f>
        <v>48</v>
      </c>
      <c r="AT98" s="75" t="s">
        <v>7</v>
      </c>
      <c r="AU98" s="75">
        <f>0.91/10</f>
        <v>0.091</v>
      </c>
      <c r="AV98" s="75">
        <f>600/10</f>
        <v>60</v>
      </c>
      <c r="AW98" s="75">
        <f>0.033/10*1000</f>
        <v>3.3</v>
      </c>
      <c r="AX98" s="75">
        <f>180/10</f>
        <v>18</v>
      </c>
      <c r="AY98" s="75">
        <f>2.2/10</f>
        <v>0.22000000000000003</v>
      </c>
      <c r="AZ98" s="75">
        <f>0.017/10*1000</f>
        <v>1.7000000000000002</v>
      </c>
      <c r="BA98" s="75" t="s">
        <v>7</v>
      </c>
      <c r="BB98" s="82">
        <f>3/10*1000</f>
        <v>300</v>
      </c>
      <c r="BC98" s="75">
        <v>6.2</v>
      </c>
    </row>
    <row r="99" spans="1:55" ht="15">
      <c r="A99" s="73" t="s">
        <v>259</v>
      </c>
      <c r="B99" s="74" t="s">
        <v>206</v>
      </c>
      <c r="P99" s="75">
        <v>12.3</v>
      </c>
      <c r="Q99" s="79">
        <f t="shared" si="10"/>
        <v>9.126923076923077</v>
      </c>
      <c r="R99" s="79"/>
      <c r="S99" s="79"/>
      <c r="T99" s="79"/>
      <c r="U99" s="79"/>
      <c r="V99" s="79"/>
      <c r="W99" s="79"/>
      <c r="AN99" s="75" t="s">
        <v>7</v>
      </c>
      <c r="AO99" s="75">
        <f>110/10</f>
        <v>11</v>
      </c>
      <c r="AP99" s="75">
        <f>0.091/10</f>
        <v>0.0091</v>
      </c>
      <c r="AQ99" s="75">
        <v>1.4</v>
      </c>
      <c r="AR99" s="75">
        <f>1.3/10</f>
        <v>0.13</v>
      </c>
      <c r="AS99" s="75">
        <f>460/10</f>
        <v>46</v>
      </c>
      <c r="AT99" s="75" t="s">
        <v>7</v>
      </c>
      <c r="AU99" s="79">
        <f>1/10</f>
        <v>0.1</v>
      </c>
      <c r="AV99" s="75">
        <f>1100/10</f>
        <v>110</v>
      </c>
      <c r="AW99" s="75" t="s">
        <v>7</v>
      </c>
      <c r="AX99" s="75">
        <f>240/10</f>
        <v>24</v>
      </c>
      <c r="AY99" s="75">
        <f>1.1/10</f>
        <v>0.11000000000000001</v>
      </c>
      <c r="AZ99" s="78">
        <f>0.01/10*1000</f>
        <v>1</v>
      </c>
      <c r="BA99" s="75" t="s">
        <v>7</v>
      </c>
      <c r="BB99" s="82">
        <f>0.5/10*1000</f>
        <v>50</v>
      </c>
      <c r="BC99" s="75">
        <v>10</v>
      </c>
    </row>
    <row r="100" spans="1:55" ht="15">
      <c r="A100" s="73" t="s">
        <v>259</v>
      </c>
      <c r="B100" s="74" t="s">
        <v>132</v>
      </c>
      <c r="P100" s="75">
        <v>10.8</v>
      </c>
      <c r="Q100" s="79">
        <f t="shared" si="10"/>
        <v>8.013883677298313</v>
      </c>
      <c r="R100" s="79"/>
      <c r="S100" s="79"/>
      <c r="T100" s="79"/>
      <c r="U100" s="79"/>
      <c r="V100" s="79"/>
      <c r="W100" s="79"/>
      <c r="AN100" s="75">
        <f>0.015/10*1000</f>
        <v>1.5</v>
      </c>
      <c r="AO100" s="75">
        <f>120/10</f>
        <v>12</v>
      </c>
      <c r="AP100" s="75">
        <f>0.33/10</f>
        <v>0.033</v>
      </c>
      <c r="AQ100" s="82">
        <v>2</v>
      </c>
      <c r="AR100" s="75">
        <f>0.84/10</f>
        <v>0.08399999999999999</v>
      </c>
      <c r="AS100" s="75">
        <f>440/10</f>
        <v>44</v>
      </c>
      <c r="AT100" s="75" t="s">
        <v>7</v>
      </c>
      <c r="AU100" s="75">
        <f>0.73/10</f>
        <v>0.073</v>
      </c>
      <c r="AV100" s="75">
        <f>680/10</f>
        <v>68</v>
      </c>
      <c r="AW100" s="75">
        <f>0.015/10*1000</f>
        <v>1.5</v>
      </c>
      <c r="AX100" s="75">
        <f>110/10</f>
        <v>11</v>
      </c>
      <c r="AY100" s="79">
        <f>1/10</f>
        <v>0.1</v>
      </c>
      <c r="AZ100" s="75">
        <f>0.024/10*1000</f>
        <v>2.4000000000000004</v>
      </c>
      <c r="BA100" s="75" t="s">
        <v>7</v>
      </c>
      <c r="BB100" s="82">
        <f>0.7/10*1000</f>
        <v>69.99999999999999</v>
      </c>
      <c r="BC100" s="75">
        <v>42</v>
      </c>
    </row>
    <row r="101" spans="1:55" ht="15">
      <c r="A101" s="73" t="s">
        <v>259</v>
      </c>
      <c r="B101" s="74" t="s">
        <v>247</v>
      </c>
      <c r="P101" s="75">
        <v>11.1</v>
      </c>
      <c r="Q101" s="79">
        <f t="shared" si="10"/>
        <v>8.236491557223266</v>
      </c>
      <c r="R101" s="79"/>
      <c r="S101" s="79"/>
      <c r="T101" s="79"/>
      <c r="U101" s="79"/>
      <c r="V101" s="79"/>
      <c r="W101" s="79"/>
      <c r="AN101" s="75">
        <f>0.015/10*1000</f>
        <v>1.5</v>
      </c>
      <c r="AO101" s="75">
        <f>170/10</f>
        <v>17</v>
      </c>
      <c r="AP101" s="75">
        <f>0.011/10</f>
        <v>0.0010999999999999998</v>
      </c>
      <c r="AQ101" s="82">
        <v>3</v>
      </c>
      <c r="AR101" s="79">
        <f>3/10</f>
        <v>0.3</v>
      </c>
      <c r="AS101" s="75">
        <f>570/10</f>
        <v>57</v>
      </c>
      <c r="AT101" s="75" t="s">
        <v>7</v>
      </c>
      <c r="AU101" s="75">
        <f>1.7/10</f>
        <v>0.16999999999999998</v>
      </c>
      <c r="AV101" s="75">
        <f>950/10</f>
        <v>95</v>
      </c>
      <c r="AW101" s="75" t="s">
        <v>7</v>
      </c>
      <c r="AX101" s="75">
        <f>260/10</f>
        <v>26</v>
      </c>
      <c r="AY101" s="75">
        <f>3.5/10</f>
        <v>0.35</v>
      </c>
      <c r="AZ101" s="75">
        <f>0.029/10*1000</f>
        <v>2.9000000000000004</v>
      </c>
      <c r="BA101" s="75" t="s">
        <v>7</v>
      </c>
      <c r="BB101" s="82">
        <f>1.8/10*1000</f>
        <v>180</v>
      </c>
      <c r="BC101" s="75">
        <v>9.4</v>
      </c>
    </row>
    <row r="102" spans="1:55" ht="15">
      <c r="A102" s="73" t="s">
        <v>259</v>
      </c>
      <c r="B102" s="74" t="s">
        <v>207</v>
      </c>
      <c r="P102" s="75">
        <v>12.4</v>
      </c>
      <c r="Q102" s="79">
        <f t="shared" si="10"/>
        <v>9.201125703564728</v>
      </c>
      <c r="R102" s="79"/>
      <c r="S102" s="79"/>
      <c r="T102" s="79"/>
      <c r="U102" s="79"/>
      <c r="V102" s="79"/>
      <c r="W102" s="79"/>
      <c r="AN102" s="75" t="s">
        <v>7</v>
      </c>
      <c r="AO102" s="75">
        <f>110/10</f>
        <v>11</v>
      </c>
      <c r="AP102" s="75">
        <f>0.046/10</f>
        <v>0.0046</v>
      </c>
      <c r="AQ102" s="82">
        <v>1.2</v>
      </c>
      <c r="AR102" s="79">
        <f>0.56/10</f>
        <v>0.05600000000000001</v>
      </c>
      <c r="AS102" s="75">
        <f>340/10</f>
        <v>34</v>
      </c>
      <c r="AT102" s="75" t="s">
        <v>7</v>
      </c>
      <c r="AU102" s="75">
        <f>0.74/10</f>
        <v>0.074</v>
      </c>
      <c r="AV102" s="75">
        <f>850/10</f>
        <v>85</v>
      </c>
      <c r="AW102" s="75">
        <f>0.022/10*1000</f>
        <v>2.1999999999999997</v>
      </c>
      <c r="AX102" s="75">
        <f>100/10</f>
        <v>10</v>
      </c>
      <c r="AY102" s="75">
        <f>0.74/10</f>
        <v>0.074</v>
      </c>
      <c r="AZ102" s="75">
        <f>0.03/10*1000</f>
        <v>3</v>
      </c>
      <c r="BA102" s="75" t="s">
        <v>7</v>
      </c>
      <c r="BB102" s="82">
        <f>0.9/10*1000</f>
        <v>90</v>
      </c>
      <c r="BC102" s="75">
        <v>2.8</v>
      </c>
    </row>
    <row r="103" spans="1:55" ht="15">
      <c r="A103" s="73" t="s">
        <v>259</v>
      </c>
      <c r="B103" s="74" t="s">
        <v>208</v>
      </c>
      <c r="P103" s="75">
        <v>12.3</v>
      </c>
      <c r="Q103" s="79">
        <f t="shared" si="10"/>
        <v>9.126923076923077</v>
      </c>
      <c r="R103" s="79"/>
      <c r="S103" s="79"/>
      <c r="T103" s="79"/>
      <c r="U103" s="79"/>
      <c r="V103" s="79"/>
      <c r="W103" s="79"/>
      <c r="AN103" s="75">
        <f>0.022/10*1000</f>
        <v>2.1999999999999997</v>
      </c>
      <c r="AO103" s="75">
        <f>160/10</f>
        <v>16</v>
      </c>
      <c r="AP103" s="75">
        <f>0.042/10</f>
        <v>0.004200000000000001</v>
      </c>
      <c r="AQ103" s="75">
        <v>1.5</v>
      </c>
      <c r="AR103" s="75">
        <f>2.3/10</f>
        <v>0.22999999999999998</v>
      </c>
      <c r="AS103" s="75">
        <f>600/10</f>
        <v>60</v>
      </c>
      <c r="AT103" s="75" t="s">
        <v>7</v>
      </c>
      <c r="AU103" s="75">
        <f>1.1/10</f>
        <v>0.11000000000000001</v>
      </c>
      <c r="AV103" s="75">
        <f>1300/10</f>
        <v>130</v>
      </c>
      <c r="AW103" s="75">
        <f>0.018/10*1000</f>
        <v>1.8</v>
      </c>
      <c r="AX103" s="75">
        <f>210/10</f>
        <v>21</v>
      </c>
      <c r="AY103" s="75">
        <f>1.3/10</f>
        <v>0.13</v>
      </c>
      <c r="AZ103" s="75">
        <f>0.015/10*1000</f>
        <v>1.5</v>
      </c>
      <c r="BA103" s="75" t="s">
        <v>7</v>
      </c>
      <c r="BB103" s="75">
        <f>1.7/10*1000</f>
        <v>169.99999999999997</v>
      </c>
      <c r="BC103" s="75">
        <v>13</v>
      </c>
    </row>
    <row r="104" spans="1:39" ht="15">
      <c r="A104" s="73" t="s">
        <v>260</v>
      </c>
      <c r="B104" s="74" t="s">
        <v>2</v>
      </c>
      <c r="C104" s="75">
        <v>0.994</v>
      </c>
      <c r="D104" s="75">
        <v>85.5</v>
      </c>
      <c r="E104" s="75" t="s">
        <v>3</v>
      </c>
      <c r="F104" s="75">
        <v>0.2</v>
      </c>
      <c r="G104" s="75">
        <v>0.07</v>
      </c>
      <c r="H104" s="75">
        <v>0.08</v>
      </c>
      <c r="I104" s="75" t="s">
        <v>6</v>
      </c>
      <c r="J104" s="75" t="s">
        <v>6</v>
      </c>
      <c r="K104" s="75" t="s">
        <v>6</v>
      </c>
      <c r="L104" s="75" t="s">
        <v>7</v>
      </c>
      <c r="O104" s="75">
        <v>0.3</v>
      </c>
      <c r="Q104" s="79"/>
      <c r="R104" s="78">
        <v>0.1482054</v>
      </c>
      <c r="S104" s="78">
        <v>0.15808576000000002</v>
      </c>
      <c r="T104" s="78">
        <v>0.25688936</v>
      </c>
      <c r="U104" s="78" t="s">
        <v>244</v>
      </c>
      <c r="V104" s="78" t="s">
        <v>244</v>
      </c>
      <c r="W104" s="78">
        <v>0.0494018</v>
      </c>
      <c r="AG104" s="75" t="s">
        <v>7</v>
      </c>
      <c r="AM104" s="75">
        <v>2.2</v>
      </c>
    </row>
    <row r="105" spans="1:55" ht="15">
      <c r="A105" s="73" t="s">
        <v>260</v>
      </c>
      <c r="B105" s="74" t="s">
        <v>204</v>
      </c>
      <c r="P105" s="75">
        <v>14.5</v>
      </c>
      <c r="Q105" s="79">
        <f>(P105*0.791)/$C$104</f>
        <v>11.538732394366198</v>
      </c>
      <c r="R105" s="79"/>
      <c r="S105" s="79"/>
      <c r="T105" s="79"/>
      <c r="U105" s="79"/>
      <c r="V105" s="79"/>
      <c r="W105" s="79"/>
      <c r="AN105" s="75" t="s">
        <v>7</v>
      </c>
      <c r="AO105" s="75">
        <f>65/10</f>
        <v>6.5</v>
      </c>
      <c r="AP105" s="75">
        <f>0.11/10</f>
        <v>0.011</v>
      </c>
      <c r="AQ105" s="75" t="s">
        <v>7</v>
      </c>
      <c r="AR105" s="75">
        <f>0.83/10</f>
        <v>0.08299999999999999</v>
      </c>
      <c r="AS105" s="75">
        <f>360/10</f>
        <v>36</v>
      </c>
      <c r="AT105" s="75" t="s">
        <v>7</v>
      </c>
      <c r="AU105" s="75">
        <f>0.91/10</f>
        <v>0.091</v>
      </c>
      <c r="AV105" s="75">
        <f>1100/10</f>
        <v>110</v>
      </c>
      <c r="AW105" s="75" t="s">
        <v>7</v>
      </c>
      <c r="AX105" s="75">
        <f>140/10</f>
        <v>14</v>
      </c>
      <c r="AY105" s="75">
        <f>1.9/10</f>
        <v>0.19</v>
      </c>
      <c r="AZ105" s="75">
        <f>0.012/10*1000</f>
        <v>1.2000000000000002</v>
      </c>
      <c r="BA105" s="75" t="s">
        <v>7</v>
      </c>
      <c r="BB105" s="75">
        <f>0.13/10*1000</f>
        <v>13.000000000000002</v>
      </c>
      <c r="BC105" s="75">
        <v>7.7</v>
      </c>
    </row>
    <row r="106" spans="1:55" ht="15">
      <c r="A106" s="73" t="s">
        <v>260</v>
      </c>
      <c r="B106" s="74" t="s">
        <v>129</v>
      </c>
      <c r="P106" s="75">
        <v>14.1</v>
      </c>
      <c r="Q106" s="79">
        <f aca="true" t="shared" si="11" ref="Q106:Q111">(P106*0.791)/$C$104</f>
        <v>11.220422535211268</v>
      </c>
      <c r="R106" s="79"/>
      <c r="S106" s="79"/>
      <c r="T106" s="79"/>
      <c r="U106" s="79"/>
      <c r="V106" s="79"/>
      <c r="W106" s="79"/>
      <c r="AN106" s="75" t="s">
        <v>7</v>
      </c>
      <c r="AO106" s="75">
        <f>81/10</f>
        <v>8.1</v>
      </c>
      <c r="AP106" s="80">
        <f>0.1/10</f>
        <v>0.01</v>
      </c>
      <c r="AQ106" s="75" t="s">
        <v>7</v>
      </c>
      <c r="AR106" s="75">
        <f>1.5/10</f>
        <v>0.15</v>
      </c>
      <c r="AS106" s="75">
        <f>380/10</f>
        <v>38</v>
      </c>
      <c r="AT106" s="75" t="s">
        <v>7</v>
      </c>
      <c r="AU106" s="75">
        <f>0.67/10</f>
        <v>0.067</v>
      </c>
      <c r="AV106" s="75">
        <f>1200/10</f>
        <v>120</v>
      </c>
      <c r="AW106" s="75" t="s">
        <v>7</v>
      </c>
      <c r="AX106" s="75">
        <f>150/10</f>
        <v>15</v>
      </c>
      <c r="AY106" s="79">
        <f>3/10</f>
        <v>0.3</v>
      </c>
      <c r="AZ106" s="75">
        <f>0.012/10*1000</f>
        <v>1.2000000000000002</v>
      </c>
      <c r="BA106" s="75" t="s">
        <v>7</v>
      </c>
      <c r="BB106" s="75">
        <f>0.17/10*1000</f>
        <v>17</v>
      </c>
      <c r="BC106" s="75">
        <v>3.2</v>
      </c>
    </row>
    <row r="107" spans="1:55" ht="15">
      <c r="A107" s="73" t="s">
        <v>260</v>
      </c>
      <c r="B107" s="74" t="s">
        <v>246</v>
      </c>
      <c r="P107" s="75">
        <v>14.7</v>
      </c>
      <c r="Q107" s="79">
        <f t="shared" si="11"/>
        <v>11.697887323943663</v>
      </c>
      <c r="R107" s="79"/>
      <c r="S107" s="79"/>
      <c r="T107" s="79"/>
      <c r="U107" s="79"/>
      <c r="V107" s="79"/>
      <c r="W107" s="79"/>
      <c r="AN107" s="75" t="s">
        <v>7</v>
      </c>
      <c r="AO107" s="75">
        <f>62/10</f>
        <v>6.2</v>
      </c>
      <c r="AP107" s="75">
        <f>0.18/10</f>
        <v>0.018</v>
      </c>
      <c r="AQ107" s="75" t="s">
        <v>7</v>
      </c>
      <c r="AR107" s="80">
        <f>0.9/10</f>
        <v>0.09</v>
      </c>
      <c r="AS107" s="75">
        <f>320/10</f>
        <v>32</v>
      </c>
      <c r="AT107" s="75" t="s">
        <v>7</v>
      </c>
      <c r="AU107" s="75">
        <f>0.85/10</f>
        <v>0.08499999999999999</v>
      </c>
      <c r="AV107" s="75">
        <f>1400/10</f>
        <v>140</v>
      </c>
      <c r="AW107" s="75" t="s">
        <v>7</v>
      </c>
      <c r="AX107" s="75">
        <f>150/10</f>
        <v>15</v>
      </c>
      <c r="AY107" s="75">
        <f>1.2/10</f>
        <v>0.12</v>
      </c>
      <c r="AZ107" s="78">
        <f>0.01/10*1000</f>
        <v>1</v>
      </c>
      <c r="BA107" s="75" t="s">
        <v>7</v>
      </c>
      <c r="BB107" s="75" t="s">
        <v>245</v>
      </c>
      <c r="BC107" s="75">
        <v>10</v>
      </c>
    </row>
    <row r="108" spans="1:55" ht="15">
      <c r="A108" s="73" t="s">
        <v>260</v>
      </c>
      <c r="B108" s="74" t="s">
        <v>206</v>
      </c>
      <c r="P108" s="75">
        <v>14.2</v>
      </c>
      <c r="Q108" s="79">
        <f t="shared" si="11"/>
        <v>11.3</v>
      </c>
      <c r="R108" s="79"/>
      <c r="S108" s="79"/>
      <c r="T108" s="79"/>
      <c r="U108" s="79"/>
      <c r="V108" s="79"/>
      <c r="W108" s="79"/>
      <c r="AN108" s="75" t="s">
        <v>7</v>
      </c>
      <c r="AO108" s="75">
        <f>68/10</f>
        <v>6.8</v>
      </c>
      <c r="AP108" s="75">
        <f>0.17/10</f>
        <v>0.017</v>
      </c>
      <c r="AQ108" s="75" t="s">
        <v>7</v>
      </c>
      <c r="AR108" s="79">
        <f>1/10</f>
        <v>0.1</v>
      </c>
      <c r="AS108" s="75">
        <f>240/10</f>
        <v>24</v>
      </c>
      <c r="AT108" s="75" t="s">
        <v>7</v>
      </c>
      <c r="AU108" s="75">
        <f>0.68/10</f>
        <v>0.068</v>
      </c>
      <c r="AV108" s="75">
        <f>1000/10</f>
        <v>100</v>
      </c>
      <c r="AW108" s="75" t="s">
        <v>7</v>
      </c>
      <c r="AX108" s="75">
        <f>160/10</f>
        <v>16</v>
      </c>
      <c r="AY108" s="75">
        <f>1.9/10</f>
        <v>0.19</v>
      </c>
      <c r="AZ108" s="75">
        <f>0.011/10*1000</f>
        <v>1.0999999999999999</v>
      </c>
      <c r="BA108" s="75" t="s">
        <v>7</v>
      </c>
      <c r="BB108" s="75">
        <f>0.24/10*1000</f>
        <v>24</v>
      </c>
      <c r="BC108" s="75">
        <v>4.8</v>
      </c>
    </row>
    <row r="109" spans="1:55" ht="15">
      <c r="A109" s="73" t="s">
        <v>260</v>
      </c>
      <c r="B109" s="74" t="s">
        <v>132</v>
      </c>
      <c r="P109" s="75">
        <v>14.9</v>
      </c>
      <c r="Q109" s="79">
        <f t="shared" si="11"/>
        <v>11.85704225352113</v>
      </c>
      <c r="R109" s="79"/>
      <c r="S109" s="79"/>
      <c r="T109" s="79"/>
      <c r="U109" s="79"/>
      <c r="V109" s="79"/>
      <c r="W109" s="79"/>
      <c r="AN109" s="75" t="s">
        <v>7</v>
      </c>
      <c r="AO109" s="75">
        <f>64/10</f>
        <v>6.4</v>
      </c>
      <c r="AP109" s="75">
        <f>0.16/10</f>
        <v>0.016</v>
      </c>
      <c r="AQ109" s="75" t="s">
        <v>7</v>
      </c>
      <c r="AR109" s="75">
        <f>1.6/10</f>
        <v>0.16</v>
      </c>
      <c r="AS109" s="75">
        <f>260/10</f>
        <v>26</v>
      </c>
      <c r="AT109" s="75" t="s">
        <v>7</v>
      </c>
      <c r="AU109" s="75">
        <f>1.5/10</f>
        <v>0.15</v>
      </c>
      <c r="AV109" s="75">
        <f>1000/10</f>
        <v>100</v>
      </c>
      <c r="AW109" s="75" t="s">
        <v>7</v>
      </c>
      <c r="AX109" s="75">
        <f>180/10</f>
        <v>18</v>
      </c>
      <c r="AY109" s="75">
        <f>1.7/10</f>
        <v>0.16999999999999998</v>
      </c>
      <c r="AZ109" s="75">
        <f>0.011/10*1000</f>
        <v>1.0999999999999999</v>
      </c>
      <c r="BA109" s="75" t="s">
        <v>7</v>
      </c>
      <c r="BB109" s="75">
        <f>0.27/10*1000</f>
        <v>27.000000000000004</v>
      </c>
      <c r="BC109" s="75">
        <v>8.8</v>
      </c>
    </row>
    <row r="110" spans="1:55" ht="15">
      <c r="A110" s="73" t="s">
        <v>260</v>
      </c>
      <c r="B110" s="74" t="s">
        <v>247</v>
      </c>
      <c r="P110" s="75">
        <v>13.9</v>
      </c>
      <c r="Q110" s="79">
        <f t="shared" si="11"/>
        <v>11.061267605633804</v>
      </c>
      <c r="R110" s="79"/>
      <c r="S110" s="79"/>
      <c r="T110" s="79"/>
      <c r="U110" s="79"/>
      <c r="V110" s="79"/>
      <c r="W110" s="79"/>
      <c r="AN110" s="75" t="s">
        <v>7</v>
      </c>
      <c r="AO110" s="75">
        <f>57/10</f>
        <v>5.7</v>
      </c>
      <c r="AP110" s="75">
        <f>0.19/10</f>
        <v>0.019</v>
      </c>
      <c r="AQ110" s="75" t="s">
        <v>7</v>
      </c>
      <c r="AR110" s="75">
        <f>0.98/10</f>
        <v>0.098</v>
      </c>
      <c r="AS110" s="75">
        <f>250/10</f>
        <v>25</v>
      </c>
      <c r="AT110" s="75" t="s">
        <v>7</v>
      </c>
      <c r="AU110" s="75">
        <f>0.72/10</f>
        <v>0.072</v>
      </c>
      <c r="AV110" s="75">
        <f>1100/10</f>
        <v>110</v>
      </c>
      <c r="AW110" s="75" t="s">
        <v>7</v>
      </c>
      <c r="AX110" s="75">
        <f>120/10</f>
        <v>12</v>
      </c>
      <c r="AY110" s="75">
        <f>2.1/10</f>
        <v>0.21000000000000002</v>
      </c>
      <c r="AZ110" s="75" t="s">
        <v>7</v>
      </c>
      <c r="BA110" s="75" t="s">
        <v>7</v>
      </c>
      <c r="BB110" s="82">
        <f>0.2/10*1000</f>
        <v>20</v>
      </c>
      <c r="BC110" s="75">
        <v>9.1</v>
      </c>
    </row>
    <row r="111" spans="1:55" ht="15">
      <c r="A111" s="73" t="s">
        <v>260</v>
      </c>
      <c r="B111" s="74" t="s">
        <v>207</v>
      </c>
      <c r="P111" s="75">
        <v>14.5</v>
      </c>
      <c r="Q111" s="79">
        <f t="shared" si="11"/>
        <v>11.538732394366198</v>
      </c>
      <c r="R111" s="79"/>
      <c r="S111" s="79"/>
      <c r="T111" s="79"/>
      <c r="U111" s="79"/>
      <c r="V111" s="79"/>
      <c r="W111" s="79"/>
      <c r="AN111" s="75" t="s">
        <v>7</v>
      </c>
      <c r="AO111" s="75">
        <f>58/10</f>
        <v>5.8</v>
      </c>
      <c r="AP111" s="75">
        <f>0.14/10</f>
        <v>0.014000000000000002</v>
      </c>
      <c r="AQ111" s="75" t="s">
        <v>7</v>
      </c>
      <c r="AR111" s="75">
        <f>1.5/10</f>
        <v>0.15</v>
      </c>
      <c r="AS111" s="75">
        <f>370/10</f>
        <v>37</v>
      </c>
      <c r="AT111" s="75" t="s">
        <v>7</v>
      </c>
      <c r="AU111" s="75">
        <f>0.97/10</f>
        <v>0.097</v>
      </c>
      <c r="AV111" s="75">
        <f>1200/10</f>
        <v>120</v>
      </c>
      <c r="AW111" s="75" t="s">
        <v>7</v>
      </c>
      <c r="AX111" s="75">
        <f>150/10</f>
        <v>15</v>
      </c>
      <c r="AY111" s="75">
        <f>1.6/10</f>
        <v>0.16</v>
      </c>
      <c r="AZ111" s="75">
        <f>0.013/10*1000</f>
        <v>1.3</v>
      </c>
      <c r="BA111" s="75" t="s">
        <v>7</v>
      </c>
      <c r="BB111" s="75">
        <f>0.15/10*1000</f>
        <v>15</v>
      </c>
      <c r="BC111" s="75">
        <v>5.2</v>
      </c>
    </row>
    <row r="112" spans="1:55" ht="15">
      <c r="A112" s="73" t="s">
        <v>260</v>
      </c>
      <c r="B112" s="74" t="s">
        <v>208</v>
      </c>
      <c r="P112" s="75">
        <v>14.6</v>
      </c>
      <c r="Q112" s="79">
        <f>(P112*0.791)/$C$104</f>
        <v>11.61830985915493</v>
      </c>
      <c r="R112" s="79"/>
      <c r="S112" s="79"/>
      <c r="T112" s="79"/>
      <c r="U112" s="79"/>
      <c r="V112" s="79"/>
      <c r="W112" s="79"/>
      <c r="AN112" s="75" t="s">
        <v>7</v>
      </c>
      <c r="AO112" s="75">
        <f>63/10</f>
        <v>6.3</v>
      </c>
      <c r="AP112" s="75">
        <f>0.27/10</f>
        <v>0.027000000000000003</v>
      </c>
      <c r="AQ112" s="75" t="s">
        <v>7</v>
      </c>
      <c r="AR112" s="75">
        <f>1.5/10</f>
        <v>0.15</v>
      </c>
      <c r="AS112" s="75">
        <f>370/10</f>
        <v>37</v>
      </c>
      <c r="AT112" s="75" t="s">
        <v>7</v>
      </c>
      <c r="AU112" s="79">
        <f>1/10</f>
        <v>0.1</v>
      </c>
      <c r="AV112" s="75">
        <f>1200/10</f>
        <v>120</v>
      </c>
      <c r="AW112" s="75" t="s">
        <v>7</v>
      </c>
      <c r="AX112" s="75">
        <f>150/10</f>
        <v>15</v>
      </c>
      <c r="AY112" s="75">
        <f>1.3/10</f>
        <v>0.13</v>
      </c>
      <c r="AZ112" s="75">
        <f>0.012/10*1000</f>
        <v>1.2000000000000002</v>
      </c>
      <c r="BA112" s="75" t="s">
        <v>7</v>
      </c>
      <c r="BB112" s="75">
        <f>0.19/10*1000</f>
        <v>19</v>
      </c>
      <c r="BC112" s="75">
        <v>5.7</v>
      </c>
    </row>
    <row r="113" spans="1:39" ht="15">
      <c r="A113" s="73" t="s">
        <v>261</v>
      </c>
      <c r="B113" s="74" t="s">
        <v>2</v>
      </c>
      <c r="C113" s="75">
        <v>0.995</v>
      </c>
      <c r="D113" s="75">
        <v>86.1</v>
      </c>
      <c r="E113" s="75" t="s">
        <v>3</v>
      </c>
      <c r="F113" s="75">
        <v>0.3</v>
      </c>
      <c r="G113" s="75">
        <v>0.09</v>
      </c>
      <c r="H113" s="75">
        <v>0.13</v>
      </c>
      <c r="I113" s="75" t="s">
        <v>6</v>
      </c>
      <c r="J113" s="75" t="s">
        <v>6</v>
      </c>
      <c r="K113" s="75" t="s">
        <v>6</v>
      </c>
      <c r="L113" s="75" t="s">
        <v>7</v>
      </c>
      <c r="O113" s="75">
        <v>0.3</v>
      </c>
      <c r="Q113" s="79"/>
      <c r="R113" s="78">
        <v>0.15840400000000002</v>
      </c>
      <c r="S113" s="78">
        <v>0.16830425</v>
      </c>
      <c r="T113" s="78">
        <v>0.20790525</v>
      </c>
      <c r="U113" s="78">
        <v>0.0079202</v>
      </c>
      <c r="V113" s="78" t="s">
        <v>244</v>
      </c>
      <c r="W113" s="78">
        <v>0.045541149999999996</v>
      </c>
      <c r="AG113" s="75" t="s">
        <v>7</v>
      </c>
      <c r="AM113" s="75">
        <v>1.7</v>
      </c>
    </row>
    <row r="114" spans="1:55" ht="15">
      <c r="A114" s="73" t="s">
        <v>261</v>
      </c>
      <c r="B114" s="74" t="s">
        <v>204</v>
      </c>
      <c r="P114" s="75">
        <v>14.2</v>
      </c>
      <c r="Q114" s="79">
        <f>(P114*0.791)/$C$113</f>
        <v>11.288643216080402</v>
      </c>
      <c r="R114" s="79"/>
      <c r="S114" s="79"/>
      <c r="T114" s="79"/>
      <c r="U114" s="79"/>
      <c r="V114" s="79"/>
      <c r="W114" s="79"/>
      <c r="AN114" s="75" t="s">
        <v>7</v>
      </c>
      <c r="AO114" s="75">
        <f>68/10</f>
        <v>6.8</v>
      </c>
      <c r="AP114" s="75">
        <f>0.16/10</f>
        <v>0.016</v>
      </c>
      <c r="AQ114" s="75" t="s">
        <v>7</v>
      </c>
      <c r="AR114" s="75">
        <f>1.2/10</f>
        <v>0.12</v>
      </c>
      <c r="AS114" s="75">
        <f>320/10</f>
        <v>32</v>
      </c>
      <c r="AT114" s="75" t="s">
        <v>7</v>
      </c>
      <c r="AU114" s="75">
        <f>0.98/10</f>
        <v>0.098</v>
      </c>
      <c r="AV114" s="75">
        <f>1300/10</f>
        <v>130</v>
      </c>
      <c r="AW114" s="75" t="s">
        <v>7</v>
      </c>
      <c r="AX114" s="75">
        <f>120/10</f>
        <v>12</v>
      </c>
      <c r="AY114" s="75">
        <f>1.2/10</f>
        <v>0.12</v>
      </c>
      <c r="AZ114" s="75" t="s">
        <v>7</v>
      </c>
      <c r="BA114" s="75" t="s">
        <v>7</v>
      </c>
      <c r="BB114" s="75">
        <f>0.15/10*1000</f>
        <v>15</v>
      </c>
      <c r="BC114" s="75">
        <v>3.5</v>
      </c>
    </row>
    <row r="115" spans="1:55" ht="15">
      <c r="A115" s="73" t="s">
        <v>261</v>
      </c>
      <c r="B115" s="74" t="s">
        <v>129</v>
      </c>
      <c r="P115" s="75">
        <v>13.8</v>
      </c>
      <c r="Q115" s="79">
        <f aca="true" t="shared" si="12" ref="Q115:Q120">(P115*0.791)/$C$113</f>
        <v>10.97065326633166</v>
      </c>
      <c r="R115" s="79"/>
      <c r="S115" s="79"/>
      <c r="T115" s="79"/>
      <c r="U115" s="79"/>
      <c r="V115" s="79"/>
      <c r="W115" s="79"/>
      <c r="AN115" s="75" t="s">
        <v>7</v>
      </c>
      <c r="AO115" s="75">
        <f>80/10</f>
        <v>8</v>
      </c>
      <c r="AP115" s="75">
        <f>0.34/10</f>
        <v>0.034</v>
      </c>
      <c r="AQ115" s="75" t="s">
        <v>7</v>
      </c>
      <c r="AR115" s="75">
        <f>0.96/10</f>
        <v>0.096</v>
      </c>
      <c r="AS115" s="75">
        <f>390/10</f>
        <v>39</v>
      </c>
      <c r="AT115" s="75" t="s">
        <v>7</v>
      </c>
      <c r="AU115" s="75">
        <f>0.71/10</f>
        <v>0.071</v>
      </c>
      <c r="AV115" s="75">
        <f>1300/10</f>
        <v>130</v>
      </c>
      <c r="AW115" s="75" t="s">
        <v>7</v>
      </c>
      <c r="AX115" s="75">
        <f>140/10</f>
        <v>14</v>
      </c>
      <c r="AY115" s="75">
        <f>1.3/10</f>
        <v>0.13</v>
      </c>
      <c r="AZ115" s="75" t="s">
        <v>7</v>
      </c>
      <c r="BA115" s="75" t="s">
        <v>7</v>
      </c>
      <c r="BB115" s="75">
        <f>0.13/10*1000</f>
        <v>13.000000000000002</v>
      </c>
      <c r="BC115" s="75">
        <v>4.9</v>
      </c>
    </row>
    <row r="116" spans="1:55" ht="15">
      <c r="A116" s="73" t="s">
        <v>261</v>
      </c>
      <c r="B116" s="74" t="s">
        <v>246</v>
      </c>
      <c r="P116" s="75">
        <v>13.4</v>
      </c>
      <c r="Q116" s="79">
        <f t="shared" si="12"/>
        <v>10.652663316582915</v>
      </c>
      <c r="R116" s="79"/>
      <c r="S116" s="79"/>
      <c r="T116" s="79"/>
      <c r="U116" s="79"/>
      <c r="V116" s="79"/>
      <c r="W116" s="79"/>
      <c r="AN116" s="75" t="s">
        <v>7</v>
      </c>
      <c r="AO116" s="75">
        <f>86/10</f>
        <v>8.6</v>
      </c>
      <c r="AP116" s="75">
        <f>0.17/10</f>
        <v>0.017</v>
      </c>
      <c r="AQ116" s="75" t="s">
        <v>7</v>
      </c>
      <c r="AR116" s="75">
        <f>1.7/10</f>
        <v>0.16999999999999998</v>
      </c>
      <c r="AS116" s="75">
        <f>360/10</f>
        <v>36</v>
      </c>
      <c r="AT116" s="75" t="s">
        <v>7</v>
      </c>
      <c r="AU116" s="80">
        <f>0.8/10</f>
        <v>0.08</v>
      </c>
      <c r="AV116" s="76">
        <v>97</v>
      </c>
      <c r="AW116" s="75" t="s">
        <v>7</v>
      </c>
      <c r="AX116" s="75">
        <f>150/10</f>
        <v>15</v>
      </c>
      <c r="AY116" s="75">
        <f>1.4/10</f>
        <v>0.13999999999999999</v>
      </c>
      <c r="AZ116" s="75">
        <f>0.011/10*1000</f>
        <v>1.0999999999999999</v>
      </c>
      <c r="BA116" s="75" t="s">
        <v>7</v>
      </c>
      <c r="BB116" s="75">
        <f>0.45/10*1000</f>
        <v>45</v>
      </c>
      <c r="BC116" s="75">
        <v>3.3</v>
      </c>
    </row>
    <row r="117" spans="1:55" ht="15">
      <c r="A117" s="73" t="s">
        <v>261</v>
      </c>
      <c r="B117" s="74" t="s">
        <v>206</v>
      </c>
      <c r="P117" s="75">
        <v>14</v>
      </c>
      <c r="Q117" s="79">
        <f t="shared" si="12"/>
        <v>11.12964824120603</v>
      </c>
      <c r="R117" s="79"/>
      <c r="S117" s="79"/>
      <c r="T117" s="79"/>
      <c r="U117" s="79"/>
      <c r="V117" s="79"/>
      <c r="W117" s="79"/>
      <c r="AN117" s="75" t="s">
        <v>7</v>
      </c>
      <c r="AO117" s="75">
        <f>55/10</f>
        <v>5.5</v>
      </c>
      <c r="AP117" s="80">
        <f>0.2/10</f>
        <v>0.02</v>
      </c>
      <c r="AQ117" s="75" t="s">
        <v>7</v>
      </c>
      <c r="AR117" s="75">
        <f>1.1/10</f>
        <v>0.11000000000000001</v>
      </c>
      <c r="AS117" s="75">
        <f>310/10</f>
        <v>31</v>
      </c>
      <c r="AT117" s="75" t="s">
        <v>7</v>
      </c>
      <c r="AU117" s="80">
        <f>0.7/10</f>
        <v>0.06999999999999999</v>
      </c>
      <c r="AV117" s="75">
        <f>1000/10</f>
        <v>100</v>
      </c>
      <c r="AW117" s="75" t="s">
        <v>7</v>
      </c>
      <c r="AX117" s="75">
        <f>120/10</f>
        <v>12</v>
      </c>
      <c r="AY117" s="75">
        <f>1.5/10</f>
        <v>0.15</v>
      </c>
      <c r="AZ117" s="75">
        <f>0.022/10*1000</f>
        <v>2.1999999999999997</v>
      </c>
      <c r="BA117" s="75" t="s">
        <v>7</v>
      </c>
      <c r="BB117" s="75">
        <f>0.23/10*1000</f>
        <v>23</v>
      </c>
      <c r="BC117" s="75">
        <v>3.3</v>
      </c>
    </row>
    <row r="118" spans="1:55" ht="15">
      <c r="A118" s="73" t="s">
        <v>261</v>
      </c>
      <c r="B118" s="74" t="s">
        <v>132</v>
      </c>
      <c r="P118" s="75">
        <v>13.4</v>
      </c>
      <c r="Q118" s="79">
        <f t="shared" si="12"/>
        <v>10.652663316582915</v>
      </c>
      <c r="R118" s="79"/>
      <c r="S118" s="79"/>
      <c r="T118" s="79"/>
      <c r="U118" s="79"/>
      <c r="V118" s="79"/>
      <c r="W118" s="79"/>
      <c r="AN118" s="75" t="s">
        <v>7</v>
      </c>
      <c r="AO118" s="75">
        <f>82/10</f>
        <v>8.2</v>
      </c>
      <c r="AP118" s="75">
        <f>0.22/10</f>
        <v>0.022</v>
      </c>
      <c r="AQ118" s="75" t="s">
        <v>7</v>
      </c>
      <c r="AR118" s="75">
        <f>0.87/10</f>
        <v>0.087</v>
      </c>
      <c r="AS118" s="75">
        <f>380/10</f>
        <v>38</v>
      </c>
      <c r="AT118" s="75" t="s">
        <v>7</v>
      </c>
      <c r="AU118" s="75">
        <f>0.66/10</f>
        <v>0.066</v>
      </c>
      <c r="AV118" s="75">
        <f>1100/10</f>
        <v>110</v>
      </c>
      <c r="AW118" s="75" t="s">
        <v>7</v>
      </c>
      <c r="AX118" s="75">
        <f>130/10</f>
        <v>13</v>
      </c>
      <c r="AY118" s="75">
        <f>1.5/10</f>
        <v>0.15</v>
      </c>
      <c r="AZ118" s="75">
        <f>0.011/10*1000</f>
        <v>1.0999999999999999</v>
      </c>
      <c r="BA118" s="75" t="s">
        <v>7</v>
      </c>
      <c r="BB118" s="75">
        <f>0.15/10*1000</f>
        <v>15</v>
      </c>
      <c r="BC118" s="75">
        <v>5.6</v>
      </c>
    </row>
    <row r="119" spans="1:55" ht="15">
      <c r="A119" s="73" t="s">
        <v>261</v>
      </c>
      <c r="B119" s="74" t="s">
        <v>247</v>
      </c>
      <c r="P119" s="75">
        <v>13.6</v>
      </c>
      <c r="Q119" s="79">
        <f t="shared" si="12"/>
        <v>10.811658291457286</v>
      </c>
      <c r="R119" s="79"/>
      <c r="S119" s="79"/>
      <c r="T119" s="79"/>
      <c r="U119" s="79"/>
      <c r="V119" s="79"/>
      <c r="W119" s="79"/>
      <c r="AN119" s="75" t="s">
        <v>7</v>
      </c>
      <c r="AO119" s="75">
        <f>69/10</f>
        <v>6.9</v>
      </c>
      <c r="AP119" s="75">
        <f>0.22/10</f>
        <v>0.022</v>
      </c>
      <c r="AQ119" s="75" t="s">
        <v>7</v>
      </c>
      <c r="AR119" s="75">
        <f>1.2/10</f>
        <v>0.12</v>
      </c>
      <c r="AS119" s="75">
        <f>270/10</f>
        <v>27</v>
      </c>
      <c r="AT119" s="75" t="s">
        <v>7</v>
      </c>
      <c r="AU119" s="75">
        <f>0.53/10</f>
        <v>0.053000000000000005</v>
      </c>
      <c r="AV119" s="75">
        <f>1200/10</f>
        <v>120</v>
      </c>
      <c r="AW119" s="75" t="s">
        <v>7</v>
      </c>
      <c r="AX119" s="75">
        <f>120/10</f>
        <v>12</v>
      </c>
      <c r="AY119" s="75">
        <f>1.7/10</f>
        <v>0.16999999999999998</v>
      </c>
      <c r="AZ119" s="75">
        <f>0.011/10*1000</f>
        <v>1.0999999999999999</v>
      </c>
      <c r="BA119" s="75" t="s">
        <v>7</v>
      </c>
      <c r="BB119" s="82">
        <f>0.2/10*1000</f>
        <v>20</v>
      </c>
      <c r="BC119" s="75">
        <v>4.5</v>
      </c>
    </row>
    <row r="120" spans="1:55" ht="15">
      <c r="A120" s="73" t="s">
        <v>261</v>
      </c>
      <c r="B120" s="74" t="s">
        <v>207</v>
      </c>
      <c r="P120" s="75">
        <v>14</v>
      </c>
      <c r="Q120" s="79">
        <f t="shared" si="12"/>
        <v>11.12964824120603</v>
      </c>
      <c r="R120" s="79"/>
      <c r="S120" s="79"/>
      <c r="T120" s="79"/>
      <c r="U120" s="79"/>
      <c r="V120" s="79"/>
      <c r="W120" s="79"/>
      <c r="AN120" s="75" t="s">
        <v>7</v>
      </c>
      <c r="AO120" s="75">
        <f>63/10</f>
        <v>6.3</v>
      </c>
      <c r="AP120" s="75">
        <f>0.28/10</f>
        <v>0.028000000000000004</v>
      </c>
      <c r="AQ120" s="75" t="s">
        <v>7</v>
      </c>
      <c r="AR120" s="75">
        <f>1.4/10</f>
        <v>0.13999999999999999</v>
      </c>
      <c r="AS120" s="75">
        <f>350/10</f>
        <v>35</v>
      </c>
      <c r="AT120" s="75" t="s">
        <v>7</v>
      </c>
      <c r="AU120" s="75">
        <f>0.61/10</f>
        <v>0.061</v>
      </c>
      <c r="AV120" s="75">
        <f>1100/10</f>
        <v>110</v>
      </c>
      <c r="AW120" s="75" t="s">
        <v>7</v>
      </c>
      <c r="AX120" s="75">
        <f>140/10</f>
        <v>14</v>
      </c>
      <c r="AY120" s="75">
        <f>2.3/10</f>
        <v>0.22999999999999998</v>
      </c>
      <c r="AZ120" s="75">
        <f>0.016/10*1000</f>
        <v>1.6</v>
      </c>
      <c r="BA120" s="75" t="s">
        <v>7</v>
      </c>
      <c r="BB120" s="75">
        <f>0.27/10*1000</f>
        <v>27.000000000000004</v>
      </c>
      <c r="BC120" s="75">
        <v>2.5</v>
      </c>
    </row>
    <row r="121" spans="1:55" ht="15">
      <c r="A121" s="73" t="s">
        <v>261</v>
      </c>
      <c r="B121" s="74" t="s">
        <v>208</v>
      </c>
      <c r="P121" s="75">
        <v>14.6</v>
      </c>
      <c r="Q121" s="79">
        <f>(P121*0.791)/$C$113</f>
        <v>11.606633165829146</v>
      </c>
      <c r="R121" s="79"/>
      <c r="S121" s="79"/>
      <c r="T121" s="79"/>
      <c r="U121" s="79"/>
      <c r="V121" s="79"/>
      <c r="W121" s="79"/>
      <c r="AN121" s="75" t="s">
        <v>7</v>
      </c>
      <c r="AO121" s="75">
        <f>69/10</f>
        <v>6.9</v>
      </c>
      <c r="AP121" s="75">
        <f>0.36/10</f>
        <v>0.036</v>
      </c>
      <c r="AQ121" s="75" t="s">
        <v>7</v>
      </c>
      <c r="AR121" s="75">
        <f>0.72/10</f>
        <v>0.072</v>
      </c>
      <c r="AS121" s="75">
        <f>410/10</f>
        <v>41</v>
      </c>
      <c r="AT121" s="75" t="s">
        <v>7</v>
      </c>
      <c r="AU121" s="75">
        <f>0.63/10</f>
        <v>0.063</v>
      </c>
      <c r="AV121" s="75">
        <f>1400/10</f>
        <v>140</v>
      </c>
      <c r="AW121" s="75" t="s">
        <v>7</v>
      </c>
      <c r="AX121" s="75">
        <f>140/10</f>
        <v>14</v>
      </c>
      <c r="AY121" s="75">
        <f>0.82/10</f>
        <v>0.08199999999999999</v>
      </c>
      <c r="AZ121" s="75">
        <f>0.011/10*1000</f>
        <v>1.0999999999999999</v>
      </c>
      <c r="BA121" s="75" t="s">
        <v>7</v>
      </c>
      <c r="BB121" s="75">
        <f>0.11/10*1000</f>
        <v>11</v>
      </c>
      <c r="BC121" s="75">
        <v>4.5</v>
      </c>
    </row>
    <row r="122" spans="1:39" ht="15">
      <c r="A122" s="73" t="s">
        <v>262</v>
      </c>
      <c r="B122" s="74" t="s">
        <v>2</v>
      </c>
      <c r="C122" s="75">
        <v>0.995</v>
      </c>
      <c r="D122" s="75">
        <v>86.3</v>
      </c>
      <c r="E122" s="75" t="s">
        <v>3</v>
      </c>
      <c r="F122" s="75">
        <v>0.3</v>
      </c>
      <c r="G122" s="75">
        <v>0.17</v>
      </c>
      <c r="H122" s="75">
        <v>0.19</v>
      </c>
      <c r="I122" s="75" t="s">
        <v>6</v>
      </c>
      <c r="J122" s="75" t="s">
        <v>6</v>
      </c>
      <c r="K122" s="75" t="s">
        <v>6</v>
      </c>
      <c r="L122" s="75" t="s">
        <v>7</v>
      </c>
      <c r="O122" s="75">
        <v>0.2</v>
      </c>
      <c r="Q122" s="79"/>
      <c r="R122" s="78">
        <v>0.10890275000000002</v>
      </c>
      <c r="S122" s="78">
        <v>0.1386035</v>
      </c>
      <c r="T122" s="78">
        <v>0.28710725</v>
      </c>
      <c r="U122" s="78">
        <v>0.0049501250000000005</v>
      </c>
      <c r="V122" s="78" t="s">
        <v>244</v>
      </c>
      <c r="W122" s="78">
        <v>0.038610975</v>
      </c>
      <c r="X122" s="75" t="s">
        <v>175</v>
      </c>
      <c r="Y122" s="75" t="s">
        <v>175</v>
      </c>
      <c r="Z122" s="75" t="s">
        <v>175</v>
      </c>
      <c r="AA122" s="75" t="s">
        <v>6</v>
      </c>
      <c r="AB122" s="75" t="s">
        <v>6</v>
      </c>
      <c r="AC122" s="75" t="s">
        <v>7</v>
      </c>
      <c r="AD122" s="81" t="s">
        <v>249</v>
      </c>
      <c r="AE122" s="75" t="s">
        <v>6</v>
      </c>
      <c r="AF122" s="81" t="s">
        <v>42</v>
      </c>
      <c r="AG122" s="75" t="s">
        <v>7</v>
      </c>
      <c r="AH122" s="75" t="s">
        <v>5</v>
      </c>
      <c r="AI122" s="75" t="s">
        <v>5</v>
      </c>
      <c r="AJ122" s="75" t="s">
        <v>5</v>
      </c>
      <c r="AK122" s="75" t="s">
        <v>5</v>
      </c>
      <c r="AL122" s="78">
        <f>2.9/1000*100</f>
        <v>0.29</v>
      </c>
      <c r="AM122" s="75">
        <v>1.5</v>
      </c>
    </row>
    <row r="123" spans="1:55" ht="15">
      <c r="A123" s="73" t="s">
        <v>262</v>
      </c>
      <c r="B123" s="74" t="s">
        <v>204</v>
      </c>
      <c r="P123" s="75">
        <v>12.9</v>
      </c>
      <c r="Q123" s="79">
        <f>(P123*0.791)/$C$122</f>
        <v>10.255175879396987</v>
      </c>
      <c r="R123" s="79"/>
      <c r="S123" s="79"/>
      <c r="T123" s="79"/>
      <c r="U123" s="79"/>
      <c r="V123" s="79"/>
      <c r="W123" s="79"/>
      <c r="AN123" s="75" t="s">
        <v>7</v>
      </c>
      <c r="AO123" s="75">
        <f>47/10</f>
        <v>4.7</v>
      </c>
      <c r="AP123" s="75">
        <f>0.18/10</f>
        <v>0.018</v>
      </c>
      <c r="AQ123" s="75" t="s">
        <v>7</v>
      </c>
      <c r="AR123" s="75">
        <f>0.78/10</f>
        <v>0.078</v>
      </c>
      <c r="AS123" s="75">
        <f>220/10</f>
        <v>22</v>
      </c>
      <c r="AT123" s="75" t="s">
        <v>7</v>
      </c>
      <c r="AU123" s="75">
        <f>0.62/10</f>
        <v>0.062</v>
      </c>
      <c r="AV123" s="75">
        <f>1000/10</f>
        <v>100</v>
      </c>
      <c r="AW123" s="75" t="s">
        <v>7</v>
      </c>
      <c r="AX123" s="75">
        <f>83/10</f>
        <v>8.3</v>
      </c>
      <c r="AY123" s="75">
        <f>2.2/10</f>
        <v>0.22000000000000003</v>
      </c>
      <c r="AZ123" s="75">
        <f>0.011/10*1000</f>
        <v>1.0999999999999999</v>
      </c>
      <c r="BA123" s="75" t="s">
        <v>7</v>
      </c>
      <c r="BB123" s="82">
        <f>0.2/10*1000</f>
        <v>20</v>
      </c>
      <c r="BC123" s="75">
        <v>1.6</v>
      </c>
    </row>
    <row r="124" spans="1:55" ht="15">
      <c r="A124" s="73" t="s">
        <v>262</v>
      </c>
      <c r="B124" s="74" t="s">
        <v>129</v>
      </c>
      <c r="P124" s="75">
        <v>14.2</v>
      </c>
      <c r="Q124" s="79">
        <f aca="true" t="shared" si="13" ref="Q124:Q130">(P124*0.791)/$C$122</f>
        <v>11.288643216080402</v>
      </c>
      <c r="R124" s="79"/>
      <c r="S124" s="79"/>
      <c r="T124" s="79"/>
      <c r="U124" s="79"/>
      <c r="V124" s="79"/>
      <c r="W124" s="79"/>
      <c r="AN124" s="75" t="s">
        <v>7</v>
      </c>
      <c r="AO124" s="75">
        <f>47/10</f>
        <v>4.7</v>
      </c>
      <c r="AP124" s="75">
        <f>0.09/10</f>
        <v>0.009</v>
      </c>
      <c r="AQ124" s="75" t="s">
        <v>7</v>
      </c>
      <c r="AR124" s="79">
        <f>1/10</f>
        <v>0.1</v>
      </c>
      <c r="AS124" s="75">
        <f>300/10</f>
        <v>30</v>
      </c>
      <c r="AT124" s="75" t="s">
        <v>7</v>
      </c>
      <c r="AU124" s="75">
        <f>0.47/10</f>
        <v>0.047</v>
      </c>
      <c r="AV124" s="75">
        <f>950/10</f>
        <v>95</v>
      </c>
      <c r="AW124" s="75" t="s">
        <v>7</v>
      </c>
      <c r="AX124" s="75">
        <f>140/10</f>
        <v>14</v>
      </c>
      <c r="AY124" s="75">
        <f>1.4/10</f>
        <v>0.13999999999999999</v>
      </c>
      <c r="AZ124" s="75">
        <f>0.012/10*1000</f>
        <v>1.2000000000000002</v>
      </c>
      <c r="BA124" s="75" t="s">
        <v>7</v>
      </c>
      <c r="BB124" s="82">
        <f>0.15/10*1000</f>
        <v>15</v>
      </c>
      <c r="BC124" s="75">
        <v>5.1</v>
      </c>
    </row>
    <row r="125" spans="1:55" ht="15">
      <c r="A125" s="73" t="s">
        <v>262</v>
      </c>
      <c r="B125" s="74" t="s">
        <v>246</v>
      </c>
      <c r="P125" s="75">
        <v>14.3</v>
      </c>
      <c r="Q125" s="79">
        <f t="shared" si="13"/>
        <v>11.36814070351759</v>
      </c>
      <c r="R125" s="79"/>
      <c r="S125" s="79"/>
      <c r="T125" s="79"/>
      <c r="U125" s="79"/>
      <c r="V125" s="79"/>
      <c r="W125" s="79"/>
      <c r="AN125" s="75" t="s">
        <v>7</v>
      </c>
      <c r="AO125" s="75">
        <f>63/10</f>
        <v>6.3</v>
      </c>
      <c r="AP125" s="80">
        <f>0.5/10</f>
        <v>0.05</v>
      </c>
      <c r="AQ125" s="75" t="s">
        <v>7</v>
      </c>
      <c r="AR125" s="75">
        <f>0.72/10</f>
        <v>0.072</v>
      </c>
      <c r="AS125" s="75">
        <f>150/10</f>
        <v>15</v>
      </c>
      <c r="AT125" s="75" t="s">
        <v>7</v>
      </c>
      <c r="AU125" s="80">
        <f>0.9/10</f>
        <v>0.09</v>
      </c>
      <c r="AV125" s="75">
        <f>800/10</f>
        <v>80</v>
      </c>
      <c r="AW125" s="75" t="s">
        <v>7</v>
      </c>
      <c r="AX125" s="75">
        <f>120/10</f>
        <v>12</v>
      </c>
      <c r="AY125" s="75">
        <f>1.2/10</f>
        <v>0.12</v>
      </c>
      <c r="AZ125" s="75" t="s">
        <v>7</v>
      </c>
      <c r="BA125" s="75" t="s">
        <v>7</v>
      </c>
      <c r="BB125" s="82">
        <f>0.18/10*1000</f>
        <v>18</v>
      </c>
      <c r="BC125" s="75">
        <v>5.1</v>
      </c>
    </row>
    <row r="126" spans="1:55" ht="15">
      <c r="A126" s="73" t="s">
        <v>262</v>
      </c>
      <c r="B126" s="74" t="s">
        <v>206</v>
      </c>
      <c r="P126" s="75">
        <v>14</v>
      </c>
      <c r="Q126" s="79">
        <f t="shared" si="13"/>
        <v>11.12964824120603</v>
      </c>
      <c r="R126" s="79"/>
      <c r="S126" s="79"/>
      <c r="T126" s="79"/>
      <c r="U126" s="79"/>
      <c r="V126" s="79"/>
      <c r="W126" s="79"/>
      <c r="AN126" s="75" t="s">
        <v>7</v>
      </c>
      <c r="AO126" s="75">
        <f>83/10</f>
        <v>8.3</v>
      </c>
      <c r="AP126" s="75">
        <f>0.24/10</f>
        <v>0.024</v>
      </c>
      <c r="AQ126" s="75" t="s">
        <v>7</v>
      </c>
      <c r="AR126" s="75">
        <f>1.1/10</f>
        <v>0.11000000000000001</v>
      </c>
      <c r="AS126" s="75">
        <f>270/10</f>
        <v>27</v>
      </c>
      <c r="AT126" s="75" t="s">
        <v>7</v>
      </c>
      <c r="AU126" s="75">
        <f>0.83/10</f>
        <v>0.08299999999999999</v>
      </c>
      <c r="AV126" s="75">
        <f>1000/10</f>
        <v>100</v>
      </c>
      <c r="AW126" s="75" t="s">
        <v>7</v>
      </c>
      <c r="AX126" s="75">
        <f>130/10</f>
        <v>13</v>
      </c>
      <c r="AY126" s="75">
        <f>1.1/10</f>
        <v>0.11000000000000001</v>
      </c>
      <c r="AZ126" s="75">
        <f>0.011/10*1000</f>
        <v>1.0999999999999999</v>
      </c>
      <c r="BA126" s="75" t="s">
        <v>7</v>
      </c>
      <c r="BB126" s="82">
        <f>0.2/10*1000</f>
        <v>20</v>
      </c>
      <c r="BC126" s="75">
        <v>4.6</v>
      </c>
    </row>
    <row r="127" spans="1:55" ht="15">
      <c r="A127" s="73" t="s">
        <v>262</v>
      </c>
      <c r="B127" s="74" t="s">
        <v>132</v>
      </c>
      <c r="P127" s="75">
        <v>12.9</v>
      </c>
      <c r="Q127" s="79">
        <f t="shared" si="13"/>
        <v>10.255175879396987</v>
      </c>
      <c r="R127" s="79"/>
      <c r="S127" s="79"/>
      <c r="T127" s="79"/>
      <c r="U127" s="79"/>
      <c r="V127" s="79"/>
      <c r="W127" s="79"/>
      <c r="AN127" s="75" t="s">
        <v>7</v>
      </c>
      <c r="AO127" s="75">
        <f>81/10</f>
        <v>8.1</v>
      </c>
      <c r="AP127" s="75">
        <f>0.16/10</f>
        <v>0.016</v>
      </c>
      <c r="AQ127" s="75" t="s">
        <v>7</v>
      </c>
      <c r="AR127" s="75">
        <f>1.2/10</f>
        <v>0.12</v>
      </c>
      <c r="AS127" s="75">
        <f>420/10</f>
        <v>42</v>
      </c>
      <c r="AT127" s="75" t="s">
        <v>7</v>
      </c>
      <c r="AU127" s="75">
        <f>0.74/10</f>
        <v>0.074</v>
      </c>
      <c r="AV127" s="75">
        <v>94</v>
      </c>
      <c r="AW127" s="75" t="s">
        <v>7</v>
      </c>
      <c r="AX127" s="75">
        <f>120/10</f>
        <v>12</v>
      </c>
      <c r="AY127" s="75">
        <f>2.5/10</f>
        <v>0.25</v>
      </c>
      <c r="AZ127" s="75">
        <f>0.014/10*1000</f>
        <v>1.4</v>
      </c>
      <c r="BA127" s="75" t="s">
        <v>7</v>
      </c>
      <c r="BB127" s="82">
        <f>0.33/10*1000</f>
        <v>33</v>
      </c>
      <c r="BC127" s="75">
        <v>9.7</v>
      </c>
    </row>
    <row r="128" spans="1:55" ht="15">
      <c r="A128" s="73" t="s">
        <v>262</v>
      </c>
      <c r="B128" s="74" t="s">
        <v>247</v>
      </c>
      <c r="P128" s="75">
        <v>14.5</v>
      </c>
      <c r="Q128" s="79">
        <f t="shared" si="13"/>
        <v>11.52713567839196</v>
      </c>
      <c r="R128" s="79"/>
      <c r="S128" s="79"/>
      <c r="T128" s="79"/>
      <c r="U128" s="79"/>
      <c r="V128" s="79"/>
      <c r="W128" s="79"/>
      <c r="AN128" s="75" t="s">
        <v>7</v>
      </c>
      <c r="AO128" s="75">
        <f>52/10</f>
        <v>5.2</v>
      </c>
      <c r="AP128" s="75">
        <f>0.087/10</f>
        <v>0.0087</v>
      </c>
      <c r="AQ128" s="75" t="s">
        <v>7</v>
      </c>
      <c r="AR128" s="75">
        <f>1.5/10</f>
        <v>0.15</v>
      </c>
      <c r="AS128" s="75">
        <f>240/10</f>
        <v>24</v>
      </c>
      <c r="AT128" s="75" t="s">
        <v>7</v>
      </c>
      <c r="AU128" s="80">
        <f>0.8/10</f>
        <v>0.08</v>
      </c>
      <c r="AV128" s="75">
        <f>830/10</f>
        <v>83</v>
      </c>
      <c r="AW128" s="75" t="s">
        <v>7</v>
      </c>
      <c r="AX128" s="75">
        <f>120/10</f>
        <v>12</v>
      </c>
      <c r="AY128" s="75">
        <f>1.9/10</f>
        <v>0.19</v>
      </c>
      <c r="AZ128" s="75" t="s">
        <v>7</v>
      </c>
      <c r="BA128" s="75" t="s">
        <v>7</v>
      </c>
      <c r="BB128" s="82">
        <f>0.15/10*1000</f>
        <v>15</v>
      </c>
      <c r="BC128" s="79">
        <v>2</v>
      </c>
    </row>
    <row r="129" spans="1:55" ht="15">
      <c r="A129" s="73" t="s">
        <v>262</v>
      </c>
      <c r="B129" s="74" t="s">
        <v>207</v>
      </c>
      <c r="P129" s="75">
        <v>13.9</v>
      </c>
      <c r="Q129" s="79">
        <f t="shared" si="13"/>
        <v>11.050150753768845</v>
      </c>
      <c r="R129" s="79"/>
      <c r="S129" s="79"/>
      <c r="T129" s="79"/>
      <c r="U129" s="79"/>
      <c r="V129" s="79"/>
      <c r="W129" s="79"/>
      <c r="AN129" s="75" t="s">
        <v>7</v>
      </c>
      <c r="AO129" s="75">
        <f>88/10</f>
        <v>8.8</v>
      </c>
      <c r="AP129" s="75">
        <f>0.22/10</f>
        <v>0.022</v>
      </c>
      <c r="AQ129" s="75" t="s">
        <v>7</v>
      </c>
      <c r="AR129" s="75">
        <f>1.2/10</f>
        <v>0.12</v>
      </c>
      <c r="AS129" s="75">
        <f>310/10</f>
        <v>31</v>
      </c>
      <c r="AT129" s="75" t="s">
        <v>7</v>
      </c>
      <c r="AU129" s="75">
        <f>0.68/10</f>
        <v>0.068</v>
      </c>
      <c r="AV129" s="75">
        <f>1000/10</f>
        <v>100</v>
      </c>
      <c r="AW129" s="75" t="s">
        <v>7</v>
      </c>
      <c r="AX129" s="75">
        <f>140/10</f>
        <v>14</v>
      </c>
      <c r="AY129" s="75">
        <f>1.1/10</f>
        <v>0.11000000000000001</v>
      </c>
      <c r="AZ129" s="75" t="s">
        <v>7</v>
      </c>
      <c r="BA129" s="75" t="s">
        <v>7</v>
      </c>
      <c r="BB129" s="82">
        <f>0.3/10*1000</f>
        <v>30</v>
      </c>
      <c r="BC129" s="75">
        <v>4.2</v>
      </c>
    </row>
    <row r="130" spans="1:55" ht="15">
      <c r="A130" s="73" t="s">
        <v>262</v>
      </c>
      <c r="B130" s="74" t="s">
        <v>208</v>
      </c>
      <c r="P130" s="75">
        <v>13.5</v>
      </c>
      <c r="Q130" s="79">
        <f t="shared" si="13"/>
        <v>10.7321608040201</v>
      </c>
      <c r="R130" s="79"/>
      <c r="S130" s="79"/>
      <c r="T130" s="79"/>
      <c r="U130" s="79"/>
      <c r="V130" s="79"/>
      <c r="W130" s="79"/>
      <c r="AN130" s="75" t="s">
        <v>7</v>
      </c>
      <c r="AO130" s="75">
        <f>110/10</f>
        <v>11</v>
      </c>
      <c r="AP130" s="75">
        <f>0.29/10</f>
        <v>0.028999999999999998</v>
      </c>
      <c r="AQ130" s="75" t="s">
        <v>7</v>
      </c>
      <c r="AR130" s="75">
        <f>1.4/10</f>
        <v>0.13999999999999999</v>
      </c>
      <c r="AS130" s="75">
        <f>180/10</f>
        <v>18</v>
      </c>
      <c r="AT130" s="75" t="s">
        <v>7</v>
      </c>
      <c r="AU130" s="75">
        <f>0.63/10</f>
        <v>0.063</v>
      </c>
      <c r="AV130" s="75">
        <f>740/10</f>
        <v>74</v>
      </c>
      <c r="AW130" s="75" t="s">
        <v>7</v>
      </c>
      <c r="AX130" s="75">
        <f>150/10</f>
        <v>15</v>
      </c>
      <c r="AY130" s="75">
        <f>2.5/10</f>
        <v>0.25</v>
      </c>
      <c r="AZ130" s="75" t="s">
        <v>7</v>
      </c>
      <c r="BA130" s="75" t="s">
        <v>7</v>
      </c>
      <c r="BB130" s="82">
        <f>0.16/10*1000</f>
        <v>16</v>
      </c>
      <c r="BC130" s="75">
        <v>5.7</v>
      </c>
    </row>
    <row r="131" spans="1:39" ht="15">
      <c r="A131" s="73" t="s">
        <v>263</v>
      </c>
      <c r="B131" s="74" t="s">
        <v>2</v>
      </c>
      <c r="C131" s="75">
        <v>0.994</v>
      </c>
      <c r="D131" s="75">
        <v>86.9</v>
      </c>
      <c r="E131" s="75" t="s">
        <v>3</v>
      </c>
      <c r="F131" s="75">
        <v>0.2</v>
      </c>
      <c r="G131" s="75">
        <v>0.05</v>
      </c>
      <c r="H131" s="75">
        <v>0.11</v>
      </c>
      <c r="I131" s="75" t="s">
        <v>6</v>
      </c>
      <c r="J131" s="75" t="s">
        <v>6</v>
      </c>
      <c r="K131" s="75" t="s">
        <v>6</v>
      </c>
      <c r="L131" s="75" t="s">
        <v>7</v>
      </c>
      <c r="O131" s="75">
        <v>0.3</v>
      </c>
      <c r="Q131" s="79"/>
      <c r="R131" s="78">
        <v>0.21736792000000005</v>
      </c>
      <c r="S131" s="78">
        <v>0.0988036</v>
      </c>
      <c r="T131" s="78">
        <v>0.22724828</v>
      </c>
      <c r="U131" s="78">
        <v>0.011856432</v>
      </c>
      <c r="V131" s="78" t="s">
        <v>244</v>
      </c>
      <c r="W131" s="78">
        <v>0.05434198000000001</v>
      </c>
      <c r="AG131" s="75" t="s">
        <v>7</v>
      </c>
      <c r="AM131" s="75" t="s">
        <v>7</v>
      </c>
    </row>
    <row r="132" spans="1:55" ht="15">
      <c r="A132" s="73" t="s">
        <v>263</v>
      </c>
      <c r="B132" s="74" t="s">
        <v>204</v>
      </c>
      <c r="P132" s="75">
        <v>13.7</v>
      </c>
      <c r="Q132" s="79">
        <f>(P132*0.791)/$C$131</f>
        <v>10.902112676056339</v>
      </c>
      <c r="R132" s="79"/>
      <c r="S132" s="79"/>
      <c r="T132" s="79"/>
      <c r="U132" s="79"/>
      <c r="V132" s="79"/>
      <c r="W132" s="79"/>
      <c r="AN132" s="75" t="s">
        <v>7</v>
      </c>
      <c r="AO132" s="75">
        <f>93/10</f>
        <v>9.3</v>
      </c>
      <c r="AP132" s="75">
        <f>0.095/10</f>
        <v>0.0095</v>
      </c>
      <c r="AQ132" s="75" t="s">
        <v>7</v>
      </c>
      <c r="AR132" s="75">
        <f>1.9/10</f>
        <v>0.19</v>
      </c>
      <c r="AS132" s="75">
        <f>300/10</f>
        <v>30</v>
      </c>
      <c r="AT132" s="75" t="s">
        <v>7</v>
      </c>
      <c r="AU132" s="75">
        <f>1.6/10</f>
        <v>0.16</v>
      </c>
      <c r="AV132" s="75">
        <f>680/10</f>
        <v>68</v>
      </c>
      <c r="AW132" s="75" t="s">
        <v>7</v>
      </c>
      <c r="AX132" s="75">
        <f>190/10</f>
        <v>19</v>
      </c>
      <c r="AY132" s="75">
        <f>3.2/10</f>
        <v>0.32</v>
      </c>
      <c r="AZ132" s="75">
        <f>0.013/10*1000</f>
        <v>1.3</v>
      </c>
      <c r="BA132" s="75" t="s">
        <v>7</v>
      </c>
      <c r="BB132" s="75">
        <f>0.37/10*1000</f>
        <v>37</v>
      </c>
      <c r="BC132" s="75">
        <v>5.1</v>
      </c>
    </row>
    <row r="133" spans="1:55" ht="15">
      <c r="A133" s="73" t="s">
        <v>263</v>
      </c>
      <c r="B133" s="74" t="s">
        <v>129</v>
      </c>
      <c r="P133" s="75">
        <v>13.4</v>
      </c>
      <c r="Q133" s="79">
        <f aca="true" t="shared" si="14" ref="Q133:Q139">(P133*0.791)/$C$131</f>
        <v>10.663380281690142</v>
      </c>
      <c r="R133" s="79"/>
      <c r="S133" s="79"/>
      <c r="T133" s="79"/>
      <c r="U133" s="79"/>
      <c r="V133" s="79"/>
      <c r="W133" s="79"/>
      <c r="AN133" s="75" t="s">
        <v>7</v>
      </c>
      <c r="AO133" s="75">
        <f>55/10</f>
        <v>5.5</v>
      </c>
      <c r="AP133" s="75">
        <f>0.088/10</f>
        <v>0.008799999999999999</v>
      </c>
      <c r="AQ133" s="75" t="s">
        <v>7</v>
      </c>
      <c r="AR133" s="75">
        <f>1.1/10</f>
        <v>0.11000000000000001</v>
      </c>
      <c r="AS133" s="75">
        <f>300/10</f>
        <v>30</v>
      </c>
      <c r="AT133" s="75" t="s">
        <v>7</v>
      </c>
      <c r="AU133" s="75">
        <f>0.64/10</f>
        <v>0.064</v>
      </c>
      <c r="AV133" s="75">
        <f>700/10</f>
        <v>70</v>
      </c>
      <c r="AW133" s="75" t="s">
        <v>7</v>
      </c>
      <c r="AX133" s="75">
        <f>160/10</f>
        <v>16</v>
      </c>
      <c r="AY133" s="79">
        <f>2/10</f>
        <v>0.2</v>
      </c>
      <c r="AZ133" s="75" t="s">
        <v>7</v>
      </c>
      <c r="BA133" s="75" t="s">
        <v>7</v>
      </c>
      <c r="BB133" s="75">
        <f>0.19/10*1000</f>
        <v>19</v>
      </c>
      <c r="BC133" s="75">
        <v>2.3</v>
      </c>
    </row>
    <row r="134" spans="1:55" ht="15">
      <c r="A134" s="73" t="s">
        <v>263</v>
      </c>
      <c r="B134" s="74" t="s">
        <v>246</v>
      </c>
      <c r="P134" s="75">
        <v>12.6</v>
      </c>
      <c r="Q134" s="79">
        <f t="shared" si="14"/>
        <v>10.02676056338028</v>
      </c>
      <c r="R134" s="79"/>
      <c r="S134" s="79"/>
      <c r="T134" s="79"/>
      <c r="U134" s="79"/>
      <c r="V134" s="79"/>
      <c r="W134" s="79"/>
      <c r="AN134" s="75" t="s">
        <v>7</v>
      </c>
      <c r="AO134" s="75">
        <f>77/10</f>
        <v>7.7</v>
      </c>
      <c r="AP134" s="75">
        <f>0.071/10</f>
        <v>0.0070999999999999995</v>
      </c>
      <c r="AQ134" s="75" t="s">
        <v>7</v>
      </c>
      <c r="AR134" s="75">
        <f>1.5/10</f>
        <v>0.15</v>
      </c>
      <c r="AS134" s="75">
        <f>480/10</f>
        <v>48</v>
      </c>
      <c r="AT134" s="75" t="s">
        <v>7</v>
      </c>
      <c r="AU134" s="79">
        <f>1/10</f>
        <v>0.1</v>
      </c>
      <c r="AV134" s="75">
        <f>1200/10</f>
        <v>120</v>
      </c>
      <c r="AW134" s="75" t="s">
        <v>7</v>
      </c>
      <c r="AX134" s="75">
        <f>150/10</f>
        <v>15</v>
      </c>
      <c r="AY134" s="75">
        <f>1.7/10</f>
        <v>0.16999999999999998</v>
      </c>
      <c r="AZ134" s="75">
        <f>0.018/10*1000</f>
        <v>1.8</v>
      </c>
      <c r="BA134" s="75" t="s">
        <v>7</v>
      </c>
      <c r="BB134" s="75">
        <f>0.33/10*1000</f>
        <v>33</v>
      </c>
      <c r="BC134" s="75">
        <v>2.7</v>
      </c>
    </row>
    <row r="135" spans="1:55" ht="15">
      <c r="A135" s="73" t="s">
        <v>263</v>
      </c>
      <c r="B135" s="74" t="s">
        <v>206</v>
      </c>
      <c r="P135" s="75">
        <v>13.4</v>
      </c>
      <c r="Q135" s="79">
        <f t="shared" si="14"/>
        <v>10.663380281690142</v>
      </c>
      <c r="R135" s="79"/>
      <c r="S135" s="79"/>
      <c r="T135" s="79"/>
      <c r="U135" s="79"/>
      <c r="V135" s="79"/>
      <c r="W135" s="79"/>
      <c r="AN135" s="75" t="s">
        <v>7</v>
      </c>
      <c r="AO135" s="75">
        <f>61/10</f>
        <v>6.1</v>
      </c>
      <c r="AP135" s="75">
        <f>0.17/10</f>
        <v>0.017</v>
      </c>
      <c r="AQ135" s="75" t="s">
        <v>7</v>
      </c>
      <c r="AR135" s="75">
        <f>2.5/10</f>
        <v>0.25</v>
      </c>
      <c r="AS135" s="75">
        <f>310/10</f>
        <v>31</v>
      </c>
      <c r="AT135" s="75" t="s">
        <v>7</v>
      </c>
      <c r="AU135" s="75">
        <f>0.95/10</f>
        <v>0.095</v>
      </c>
      <c r="AV135" s="75">
        <f>930/10</f>
        <v>93</v>
      </c>
      <c r="AW135" s="75" t="s">
        <v>7</v>
      </c>
      <c r="AX135" s="75">
        <f>180/10</f>
        <v>18</v>
      </c>
      <c r="AY135" s="75">
        <f>1.2/10</f>
        <v>0.12</v>
      </c>
      <c r="AZ135" s="75" t="s">
        <v>7</v>
      </c>
      <c r="BA135" s="75" t="s">
        <v>7</v>
      </c>
      <c r="BB135" s="82">
        <f>0.1/10*1000</f>
        <v>10</v>
      </c>
      <c r="BC135" s="75">
        <v>1.9</v>
      </c>
    </row>
    <row r="136" spans="1:55" ht="15">
      <c r="A136" s="73" t="s">
        <v>263</v>
      </c>
      <c r="B136" s="74" t="s">
        <v>132</v>
      </c>
      <c r="P136" s="75">
        <v>14.2</v>
      </c>
      <c r="Q136" s="79">
        <f t="shared" si="14"/>
        <v>11.3</v>
      </c>
      <c r="R136" s="79"/>
      <c r="S136" s="79"/>
      <c r="T136" s="79"/>
      <c r="U136" s="79"/>
      <c r="V136" s="79"/>
      <c r="W136" s="79"/>
      <c r="AN136" s="75" t="s">
        <v>7</v>
      </c>
      <c r="AO136" s="75">
        <f>73/10</f>
        <v>7.3</v>
      </c>
      <c r="AP136" s="75">
        <f>0.27/10</f>
        <v>0.027000000000000003</v>
      </c>
      <c r="AQ136" s="75" t="s">
        <v>7</v>
      </c>
      <c r="AR136" s="75">
        <f>1.7/10</f>
        <v>0.16999999999999998</v>
      </c>
      <c r="AS136" s="75">
        <f>250/10</f>
        <v>25</v>
      </c>
      <c r="AT136" s="75" t="s">
        <v>7</v>
      </c>
      <c r="AU136" s="75">
        <f>0.95/10</f>
        <v>0.095</v>
      </c>
      <c r="AV136" s="75">
        <f>760/10</f>
        <v>76</v>
      </c>
      <c r="AW136" s="75" t="s">
        <v>7</v>
      </c>
      <c r="AX136" s="75">
        <f>150/10</f>
        <v>15</v>
      </c>
      <c r="AY136" s="75">
        <f>1.1/10</f>
        <v>0.11000000000000001</v>
      </c>
      <c r="AZ136" s="75" t="s">
        <v>7</v>
      </c>
      <c r="BA136" s="75" t="s">
        <v>7</v>
      </c>
      <c r="BB136" s="75">
        <f>0.39/10*1000</f>
        <v>39</v>
      </c>
      <c r="BC136" s="75">
        <v>3.2</v>
      </c>
    </row>
    <row r="137" spans="1:55" ht="15">
      <c r="A137" s="73" t="s">
        <v>263</v>
      </c>
      <c r="B137" s="74" t="s">
        <v>247</v>
      </c>
      <c r="P137" s="75">
        <v>13.7</v>
      </c>
      <c r="Q137" s="79">
        <f t="shared" si="14"/>
        <v>10.902112676056339</v>
      </c>
      <c r="R137" s="79"/>
      <c r="S137" s="79"/>
      <c r="T137" s="79"/>
      <c r="U137" s="79"/>
      <c r="V137" s="79"/>
      <c r="W137" s="79"/>
      <c r="AN137" s="75" t="s">
        <v>7</v>
      </c>
      <c r="AO137" s="75">
        <f>74/10</f>
        <v>7.4</v>
      </c>
      <c r="AP137" s="75">
        <f>0.036/10</f>
        <v>0.0036</v>
      </c>
      <c r="AQ137" s="75" t="s">
        <v>7</v>
      </c>
      <c r="AR137" s="75">
        <f>1.1/10</f>
        <v>0.11000000000000001</v>
      </c>
      <c r="AS137" s="75">
        <f>420/10</f>
        <v>42</v>
      </c>
      <c r="AT137" s="75" t="s">
        <v>7</v>
      </c>
      <c r="AU137" s="75">
        <f>1.2/10</f>
        <v>0.12</v>
      </c>
      <c r="AV137" s="75">
        <f>1100/10</f>
        <v>110</v>
      </c>
      <c r="AW137" s="75" t="s">
        <v>7</v>
      </c>
      <c r="AX137" s="75">
        <f>170/10</f>
        <v>17</v>
      </c>
      <c r="AY137" s="75">
        <f>1.4/10</f>
        <v>0.13999999999999999</v>
      </c>
      <c r="AZ137" s="75">
        <f>0.024/10*1000</f>
        <v>2.4000000000000004</v>
      </c>
      <c r="BA137" s="75" t="s">
        <v>7</v>
      </c>
      <c r="BB137" s="75">
        <f>0.14/10*1000</f>
        <v>14.000000000000002</v>
      </c>
      <c r="BC137" s="75">
        <v>2.4</v>
      </c>
    </row>
    <row r="138" spans="1:55" ht="15">
      <c r="A138" s="73" t="s">
        <v>263</v>
      </c>
      <c r="B138" s="74" t="s">
        <v>207</v>
      </c>
      <c r="P138" s="75">
        <v>13.2</v>
      </c>
      <c r="Q138" s="79">
        <f t="shared" si="14"/>
        <v>10.504225352112677</v>
      </c>
      <c r="R138" s="79"/>
      <c r="S138" s="79"/>
      <c r="T138" s="79"/>
      <c r="U138" s="79"/>
      <c r="V138" s="79"/>
      <c r="W138" s="79"/>
      <c r="AN138" s="75" t="s">
        <v>7</v>
      </c>
      <c r="AO138" s="75">
        <f>55/10</f>
        <v>5.5</v>
      </c>
      <c r="AP138" s="75">
        <f>0.44/10</f>
        <v>0.044</v>
      </c>
      <c r="AQ138" s="75" t="s">
        <v>7</v>
      </c>
      <c r="AR138" s="75">
        <f>1.6/10</f>
        <v>0.16</v>
      </c>
      <c r="AS138" s="75">
        <f>250/10</f>
        <v>25</v>
      </c>
      <c r="AT138" s="75" t="s">
        <v>7</v>
      </c>
      <c r="AU138" s="80">
        <f>0.8/10</f>
        <v>0.08</v>
      </c>
      <c r="AV138" s="75">
        <f>940/10</f>
        <v>94</v>
      </c>
      <c r="AW138" s="75" t="s">
        <v>7</v>
      </c>
      <c r="AX138" s="75">
        <f>120/10</f>
        <v>12</v>
      </c>
      <c r="AY138" s="75">
        <f>1.6/10</f>
        <v>0.16</v>
      </c>
      <c r="AZ138" s="75">
        <f>0.011/10*1000</f>
        <v>1.0999999999999999</v>
      </c>
      <c r="BA138" s="75" t="s">
        <v>7</v>
      </c>
      <c r="BB138" s="75">
        <f>0.17/10*1000</f>
        <v>17</v>
      </c>
      <c r="BC138" s="75">
        <v>1.3</v>
      </c>
    </row>
    <row r="139" spans="1:55" ht="15">
      <c r="A139" s="73" t="s">
        <v>263</v>
      </c>
      <c r="B139" s="74" t="s">
        <v>208</v>
      </c>
      <c r="P139" s="75">
        <v>13.6</v>
      </c>
      <c r="Q139" s="79">
        <f t="shared" si="14"/>
        <v>10.822535211267606</v>
      </c>
      <c r="R139" s="79"/>
      <c r="S139" s="79"/>
      <c r="T139" s="79"/>
      <c r="U139" s="79"/>
      <c r="V139" s="79"/>
      <c r="W139" s="79"/>
      <c r="AN139" s="75" t="s">
        <v>7</v>
      </c>
      <c r="AO139" s="75">
        <f>53/10</f>
        <v>5.3</v>
      </c>
      <c r="AP139" s="75">
        <f>0.034/10</f>
        <v>0.0034000000000000002</v>
      </c>
      <c r="AQ139" s="75" t="s">
        <v>7</v>
      </c>
      <c r="AR139" s="75">
        <f>1.2/10</f>
        <v>0.12</v>
      </c>
      <c r="AS139" s="75">
        <f>270/10</f>
        <v>27</v>
      </c>
      <c r="AT139" s="75" t="s">
        <v>7</v>
      </c>
      <c r="AU139" s="75">
        <f>0.71/10</f>
        <v>0.071</v>
      </c>
      <c r="AV139" s="75">
        <f>1000/10</f>
        <v>100</v>
      </c>
      <c r="AW139" s="75" t="s">
        <v>7</v>
      </c>
      <c r="AX139" s="75">
        <f>120/10</f>
        <v>12</v>
      </c>
      <c r="AY139" s="75">
        <f>1.6/10</f>
        <v>0.16</v>
      </c>
      <c r="AZ139" s="75" t="s">
        <v>7</v>
      </c>
      <c r="BA139" s="75" t="s">
        <v>7</v>
      </c>
      <c r="BB139" s="75">
        <f>0.12/10*1000</f>
        <v>12</v>
      </c>
      <c r="BC139" s="75">
        <v>1.2</v>
      </c>
    </row>
    <row r="140" spans="1:39" ht="15">
      <c r="A140" s="73" t="s">
        <v>264</v>
      </c>
      <c r="B140" s="74" t="s">
        <v>2</v>
      </c>
      <c r="C140" s="75">
        <v>0.995</v>
      </c>
      <c r="D140" s="75">
        <v>88.2</v>
      </c>
      <c r="E140" s="75" t="s">
        <v>3</v>
      </c>
      <c r="F140" s="75">
        <v>0.2</v>
      </c>
      <c r="G140" s="75">
        <v>0.5</v>
      </c>
      <c r="H140" s="75">
        <v>0.24</v>
      </c>
      <c r="I140" s="75" t="s">
        <v>6</v>
      </c>
      <c r="J140" s="75" t="s">
        <v>6</v>
      </c>
      <c r="K140" s="75" t="s">
        <v>6</v>
      </c>
      <c r="L140" s="75" t="s">
        <v>7</v>
      </c>
      <c r="O140" s="75">
        <v>0.2</v>
      </c>
      <c r="Q140" s="79"/>
      <c r="R140" s="78">
        <v>0.019800500000000002</v>
      </c>
      <c r="S140" s="78">
        <v>0.06930175</v>
      </c>
      <c r="T140" s="78">
        <v>0.277207</v>
      </c>
      <c r="U140" s="78">
        <v>0.183154625</v>
      </c>
      <c r="V140" s="78" t="s">
        <v>244</v>
      </c>
      <c r="W140" s="78">
        <v>0.014850374999999999</v>
      </c>
      <c r="X140" s="75" t="s">
        <v>175</v>
      </c>
      <c r="Y140" s="75" t="s">
        <v>175</v>
      </c>
      <c r="Z140" s="75" t="s">
        <v>175</v>
      </c>
      <c r="AA140" s="75" t="s">
        <v>6</v>
      </c>
      <c r="AB140" s="75" t="s">
        <v>6</v>
      </c>
      <c r="AC140" s="75" t="s">
        <v>7</v>
      </c>
      <c r="AD140" s="81" t="s">
        <v>249</v>
      </c>
      <c r="AE140" s="75" t="s">
        <v>6</v>
      </c>
      <c r="AF140" s="81" t="s">
        <v>42</v>
      </c>
      <c r="AG140" s="75" t="s">
        <v>7</v>
      </c>
      <c r="AH140" s="75" t="s">
        <v>5</v>
      </c>
      <c r="AI140" s="75" t="s">
        <v>5</v>
      </c>
      <c r="AJ140" s="75" t="s">
        <v>5</v>
      </c>
      <c r="AK140" s="75" t="s">
        <v>5</v>
      </c>
      <c r="AL140" s="78">
        <f>2.4/1000*100</f>
        <v>0.24</v>
      </c>
      <c r="AM140" s="75">
        <v>2</v>
      </c>
    </row>
    <row r="141" spans="1:55" ht="15">
      <c r="A141" s="73" t="s">
        <v>264</v>
      </c>
      <c r="B141" s="74" t="s">
        <v>204</v>
      </c>
      <c r="P141" s="75">
        <v>11.7</v>
      </c>
      <c r="Q141" s="79">
        <f>(P141*0.791)/$C$140</f>
        <v>9.301206030150754</v>
      </c>
      <c r="R141" s="79"/>
      <c r="S141" s="79"/>
      <c r="T141" s="79"/>
      <c r="U141" s="79"/>
      <c r="V141" s="79"/>
      <c r="W141" s="79"/>
      <c r="AN141" s="75" t="s">
        <v>7</v>
      </c>
      <c r="AO141" s="75">
        <f>90/10</f>
        <v>9</v>
      </c>
      <c r="AP141" s="75">
        <f>0.29/10</f>
        <v>0.028999999999999998</v>
      </c>
      <c r="AQ141" s="75" t="s">
        <v>7</v>
      </c>
      <c r="AR141" s="75">
        <f>1.5/10</f>
        <v>0.15</v>
      </c>
      <c r="AS141" s="75">
        <f>340/10</f>
        <v>34</v>
      </c>
      <c r="AT141" s="75" t="s">
        <v>7</v>
      </c>
      <c r="AU141" s="75">
        <f>0.94/10</f>
        <v>0.094</v>
      </c>
      <c r="AV141" s="75">
        <f>440/10</f>
        <v>44</v>
      </c>
      <c r="AW141" s="75" t="s">
        <v>7</v>
      </c>
      <c r="AX141" s="75">
        <f>120/10</f>
        <v>12</v>
      </c>
      <c r="AY141" s="75">
        <f>0.83/10</f>
        <v>0.08299999999999999</v>
      </c>
      <c r="AZ141" s="75" t="s">
        <v>7</v>
      </c>
      <c r="BA141" s="75" t="s">
        <v>7</v>
      </c>
      <c r="BB141" s="75">
        <f>0.49/10*1000</f>
        <v>49</v>
      </c>
      <c r="BC141" s="75">
        <v>4.6</v>
      </c>
    </row>
    <row r="142" spans="1:55" ht="15">
      <c r="A142" s="73" t="s">
        <v>264</v>
      </c>
      <c r="B142" s="74" t="s">
        <v>129</v>
      </c>
      <c r="P142" s="75">
        <v>8.4</v>
      </c>
      <c r="Q142" s="79">
        <f aca="true" t="shared" si="15" ref="Q142:Q148">(P142*0.791)/$C$140</f>
        <v>6.677788944723619</v>
      </c>
      <c r="R142" s="79"/>
      <c r="S142" s="79"/>
      <c r="T142" s="79"/>
      <c r="U142" s="79"/>
      <c r="V142" s="79"/>
      <c r="W142" s="79"/>
      <c r="AN142" s="75" t="s">
        <v>7</v>
      </c>
      <c r="AO142" s="75">
        <f>80/10</f>
        <v>8</v>
      </c>
      <c r="AP142" s="75">
        <f>0.058/10</f>
        <v>0.0058000000000000005</v>
      </c>
      <c r="AQ142" s="75" t="s">
        <v>7</v>
      </c>
      <c r="AR142" s="75">
        <f>1.5/10</f>
        <v>0.15</v>
      </c>
      <c r="AS142" s="75">
        <f>280/10</f>
        <v>28</v>
      </c>
      <c r="AT142" s="75" t="s">
        <v>7</v>
      </c>
      <c r="AU142" s="75">
        <f>0.75/10</f>
        <v>0.075</v>
      </c>
      <c r="AV142" s="75">
        <f>620/10</f>
        <v>62</v>
      </c>
      <c r="AW142" s="75" t="s">
        <v>7</v>
      </c>
      <c r="AX142" s="75">
        <f>140/10</f>
        <v>14</v>
      </c>
      <c r="AY142" s="79">
        <f>1/10</f>
        <v>0.1</v>
      </c>
      <c r="AZ142" s="75" t="s">
        <v>7</v>
      </c>
      <c r="BA142" s="75" t="s">
        <v>7</v>
      </c>
      <c r="BB142" s="75">
        <f>0.51/10*1000</f>
        <v>51.00000000000001</v>
      </c>
      <c r="BC142" s="75">
        <v>4.6</v>
      </c>
    </row>
    <row r="143" spans="1:55" ht="15">
      <c r="A143" s="73" t="s">
        <v>264</v>
      </c>
      <c r="B143" s="74" t="s">
        <v>246</v>
      </c>
      <c r="P143" s="75">
        <v>11.9</v>
      </c>
      <c r="Q143" s="79">
        <f t="shared" si="15"/>
        <v>9.460201005025127</v>
      </c>
      <c r="R143" s="79"/>
      <c r="S143" s="79"/>
      <c r="T143" s="79"/>
      <c r="U143" s="79"/>
      <c r="V143" s="79"/>
      <c r="W143" s="79"/>
      <c r="AN143" s="75" t="s">
        <v>7</v>
      </c>
      <c r="AO143" s="75">
        <f>73/10</f>
        <v>7.3</v>
      </c>
      <c r="AP143" s="75">
        <f>0.36/10</f>
        <v>0.036</v>
      </c>
      <c r="AQ143" s="75" t="s">
        <v>7</v>
      </c>
      <c r="AR143" s="75">
        <f>0.88/10</f>
        <v>0.088</v>
      </c>
      <c r="AS143" s="75">
        <f>190/10</f>
        <v>19</v>
      </c>
      <c r="AT143" s="75" t="s">
        <v>7</v>
      </c>
      <c r="AU143" s="75">
        <f>0.84/10</f>
        <v>0.08399999999999999</v>
      </c>
      <c r="AV143" s="75">
        <f>400/10</f>
        <v>40</v>
      </c>
      <c r="AW143" s="75" t="s">
        <v>7</v>
      </c>
      <c r="AX143" s="75">
        <f>110/10</f>
        <v>11</v>
      </c>
      <c r="AY143" s="75">
        <f>0.36/10</f>
        <v>0.036</v>
      </c>
      <c r="AZ143" s="75" t="s">
        <v>7</v>
      </c>
      <c r="BA143" s="75" t="s">
        <v>7</v>
      </c>
      <c r="BB143" s="75">
        <f>0.18/10*1000</f>
        <v>18</v>
      </c>
      <c r="BC143" s="75">
        <v>5.3</v>
      </c>
    </row>
    <row r="144" spans="1:55" ht="15">
      <c r="A144" s="73" t="s">
        <v>264</v>
      </c>
      <c r="B144" s="74" t="s">
        <v>206</v>
      </c>
      <c r="P144" s="75">
        <v>11.7</v>
      </c>
      <c r="Q144" s="79">
        <f t="shared" si="15"/>
        <v>9.301206030150754</v>
      </c>
      <c r="R144" s="79"/>
      <c r="S144" s="79"/>
      <c r="T144" s="79"/>
      <c r="U144" s="79"/>
      <c r="V144" s="79"/>
      <c r="W144" s="79"/>
      <c r="AN144" s="75" t="s">
        <v>7</v>
      </c>
      <c r="AO144" s="75">
        <f>80/10</f>
        <v>8</v>
      </c>
      <c r="AP144" s="75">
        <f>0.16/10</f>
        <v>0.016</v>
      </c>
      <c r="AQ144" s="75" t="s">
        <v>7</v>
      </c>
      <c r="AR144" s="75">
        <f>1.2/10</f>
        <v>0.12</v>
      </c>
      <c r="AS144" s="75">
        <f>280/10</f>
        <v>28</v>
      </c>
      <c r="AT144" s="75" t="s">
        <v>7</v>
      </c>
      <c r="AU144" s="75">
        <f>0.35/10</f>
        <v>0.034999999999999996</v>
      </c>
      <c r="AV144" s="75">
        <f>610/10</f>
        <v>61</v>
      </c>
      <c r="AW144" s="75" t="s">
        <v>7</v>
      </c>
      <c r="AX144" s="75">
        <f>110/10</f>
        <v>11</v>
      </c>
      <c r="AY144" s="75">
        <f>0.47/10</f>
        <v>0.047</v>
      </c>
      <c r="AZ144" s="75" t="s">
        <v>7</v>
      </c>
      <c r="BA144" s="75" t="s">
        <v>7</v>
      </c>
      <c r="BB144" s="75">
        <f>0.32/10*1000</f>
        <v>32</v>
      </c>
      <c r="BC144" s="75">
        <v>5.2</v>
      </c>
    </row>
    <row r="145" spans="1:55" ht="15">
      <c r="A145" s="73" t="s">
        <v>264</v>
      </c>
      <c r="B145" s="74" t="s">
        <v>132</v>
      </c>
      <c r="P145" s="75">
        <v>13.1</v>
      </c>
      <c r="Q145" s="79">
        <f t="shared" si="15"/>
        <v>10.414170854271356</v>
      </c>
      <c r="R145" s="79"/>
      <c r="S145" s="79"/>
      <c r="T145" s="79"/>
      <c r="U145" s="79"/>
      <c r="V145" s="79"/>
      <c r="W145" s="79"/>
      <c r="AN145" s="75" t="s">
        <v>7</v>
      </c>
      <c r="AO145" s="75">
        <f>82/10</f>
        <v>8.2</v>
      </c>
      <c r="AP145" s="75">
        <f>0.33/10</f>
        <v>0.033</v>
      </c>
      <c r="AQ145" s="75" t="s">
        <v>7</v>
      </c>
      <c r="AR145" s="75">
        <f>0.55/10</f>
        <v>0.05500000000000001</v>
      </c>
      <c r="AS145" s="75">
        <f>380/10</f>
        <v>38</v>
      </c>
      <c r="AT145" s="75" t="s">
        <v>7</v>
      </c>
      <c r="AU145" s="80">
        <f>0.5/10</f>
        <v>0.05</v>
      </c>
      <c r="AV145" s="75">
        <f>570/10</f>
        <v>57</v>
      </c>
      <c r="AW145" s="75" t="s">
        <v>7</v>
      </c>
      <c r="AX145" s="75">
        <f>120/10</f>
        <v>12</v>
      </c>
      <c r="AY145" s="75">
        <f>0.48/10</f>
        <v>0.048</v>
      </c>
      <c r="AZ145" s="75">
        <f>0.016/10*1000</f>
        <v>1.6</v>
      </c>
      <c r="BA145" s="75" t="s">
        <v>7</v>
      </c>
      <c r="BB145" s="75">
        <f>0.25/10*1000</f>
        <v>25</v>
      </c>
      <c r="BC145" s="75">
        <v>7.4</v>
      </c>
    </row>
    <row r="146" spans="1:55" ht="15">
      <c r="A146" s="73" t="s">
        <v>264</v>
      </c>
      <c r="B146" s="74" t="s">
        <v>247</v>
      </c>
      <c r="P146" s="75">
        <v>12.5</v>
      </c>
      <c r="Q146" s="79">
        <f t="shared" si="15"/>
        <v>9.937185929648242</v>
      </c>
      <c r="R146" s="79"/>
      <c r="S146" s="79"/>
      <c r="T146" s="79"/>
      <c r="U146" s="79"/>
      <c r="V146" s="79"/>
      <c r="W146" s="79"/>
      <c r="AN146" s="75" t="s">
        <v>7</v>
      </c>
      <c r="AO146" s="75">
        <f>94/10</f>
        <v>9.4</v>
      </c>
      <c r="AP146" s="75">
        <f>0.11/10</f>
        <v>0.011</v>
      </c>
      <c r="AQ146" s="75" t="s">
        <v>7</v>
      </c>
      <c r="AR146" s="75">
        <f>1.7/10</f>
        <v>0.16999999999999998</v>
      </c>
      <c r="AS146" s="75">
        <f>270/10</f>
        <v>27</v>
      </c>
      <c r="AT146" s="75" t="s">
        <v>7</v>
      </c>
      <c r="AU146" s="75">
        <f>0.42/10</f>
        <v>0.041999999999999996</v>
      </c>
      <c r="AV146" s="75">
        <f>420/10</f>
        <v>42</v>
      </c>
      <c r="AW146" s="75" t="s">
        <v>7</v>
      </c>
      <c r="AX146" s="75">
        <f>120/10</f>
        <v>12</v>
      </c>
      <c r="AY146" s="75">
        <f>1.8/10</f>
        <v>0.18</v>
      </c>
      <c r="AZ146" s="75" t="s">
        <v>7</v>
      </c>
      <c r="BA146" s="75" t="s">
        <v>7</v>
      </c>
      <c r="BB146" s="75">
        <f>0.61/10*1000</f>
        <v>61</v>
      </c>
      <c r="BC146" s="75">
        <v>4.6</v>
      </c>
    </row>
    <row r="147" spans="1:55" ht="15">
      <c r="A147" s="73" t="s">
        <v>264</v>
      </c>
      <c r="B147" s="74" t="s">
        <v>207</v>
      </c>
      <c r="P147" s="75">
        <v>11.7</v>
      </c>
      <c r="Q147" s="79">
        <f t="shared" si="15"/>
        <v>9.301206030150754</v>
      </c>
      <c r="R147" s="79"/>
      <c r="S147" s="79"/>
      <c r="T147" s="79"/>
      <c r="U147" s="79"/>
      <c r="V147" s="79"/>
      <c r="W147" s="79"/>
      <c r="AN147" s="75" t="s">
        <v>7</v>
      </c>
      <c r="AO147" s="75">
        <f>84/10</f>
        <v>8.4</v>
      </c>
      <c r="AP147" s="75">
        <f>0.25/10</f>
        <v>0.025</v>
      </c>
      <c r="AQ147" s="75" t="s">
        <v>7</v>
      </c>
      <c r="AR147" s="75">
        <f>0.79/10</f>
        <v>0.079</v>
      </c>
      <c r="AS147" s="75">
        <f>210/10</f>
        <v>21</v>
      </c>
      <c r="AT147" s="75" t="s">
        <v>7</v>
      </c>
      <c r="AU147" s="75">
        <f>0.66/10</f>
        <v>0.066</v>
      </c>
      <c r="AV147" s="75">
        <f>480/10</f>
        <v>48</v>
      </c>
      <c r="AW147" s="75" t="s">
        <v>7</v>
      </c>
      <c r="AX147" s="75">
        <f>120/10</f>
        <v>12</v>
      </c>
      <c r="AY147" s="75">
        <f>0.76/10</f>
        <v>0.076</v>
      </c>
      <c r="AZ147" s="75" t="s">
        <v>7</v>
      </c>
      <c r="BA147" s="75" t="s">
        <v>7</v>
      </c>
      <c r="BB147" s="75">
        <f>0.13/10*1000</f>
        <v>13.000000000000002</v>
      </c>
      <c r="BC147" s="79">
        <v>4</v>
      </c>
    </row>
    <row r="148" spans="1:55" ht="15">
      <c r="A148" s="73" t="s">
        <v>264</v>
      </c>
      <c r="B148" s="74" t="s">
        <v>208</v>
      </c>
      <c r="P148" s="75">
        <v>13.2</v>
      </c>
      <c r="Q148" s="79">
        <f t="shared" si="15"/>
        <v>10.493668341708544</v>
      </c>
      <c r="R148" s="79"/>
      <c r="S148" s="79"/>
      <c r="T148" s="79"/>
      <c r="U148" s="79"/>
      <c r="V148" s="79"/>
      <c r="W148" s="79"/>
      <c r="AN148" s="75" t="s">
        <v>7</v>
      </c>
      <c r="AO148" s="75">
        <f>69/10</f>
        <v>6.9</v>
      </c>
      <c r="AP148" s="75">
        <f>0.09/10</f>
        <v>0.009</v>
      </c>
      <c r="AQ148" s="75" t="s">
        <v>7</v>
      </c>
      <c r="AR148" s="79">
        <f>1/10</f>
        <v>0.1</v>
      </c>
      <c r="AS148" s="75">
        <f>190/10</f>
        <v>19</v>
      </c>
      <c r="AT148" s="75" t="s">
        <v>7</v>
      </c>
      <c r="AU148" s="75">
        <f>0.66/10</f>
        <v>0.066</v>
      </c>
      <c r="AV148" s="75">
        <f>540/10</f>
        <v>54</v>
      </c>
      <c r="AW148" s="75" t="s">
        <v>7</v>
      </c>
      <c r="AX148" s="75">
        <f>79/10</f>
        <v>7.9</v>
      </c>
      <c r="AY148" s="75">
        <f>0.97/10</f>
        <v>0.097</v>
      </c>
      <c r="AZ148" s="75" t="s">
        <v>7</v>
      </c>
      <c r="BA148" s="75" t="s">
        <v>7</v>
      </c>
      <c r="BB148" s="75">
        <f>0.57/10*1000</f>
        <v>56.99999999999999</v>
      </c>
      <c r="BC148" s="75">
        <v>2.3</v>
      </c>
    </row>
    <row r="149" spans="1:55" s="72" customFormat="1" ht="15" customHeight="1">
      <c r="A149" s="69" t="s">
        <v>265</v>
      </c>
      <c r="B149" s="70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97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</row>
    <row r="150" spans="1:39" ht="15">
      <c r="A150" s="73" t="s">
        <v>266</v>
      </c>
      <c r="B150" s="74" t="s">
        <v>2</v>
      </c>
      <c r="C150" s="75">
        <v>1.013</v>
      </c>
      <c r="D150" s="75">
        <v>89.2</v>
      </c>
      <c r="E150" s="75" t="s">
        <v>3</v>
      </c>
      <c r="F150" s="75" t="s">
        <v>5</v>
      </c>
      <c r="G150" s="75">
        <v>1.6</v>
      </c>
      <c r="H150" s="75">
        <v>1.7</v>
      </c>
      <c r="I150" s="75">
        <v>2.3</v>
      </c>
      <c r="J150" s="75" t="s">
        <v>6</v>
      </c>
      <c r="K150" s="75" t="s">
        <v>6</v>
      </c>
      <c r="L150" s="75">
        <v>5.6</v>
      </c>
      <c r="O150" s="75" t="s">
        <v>5</v>
      </c>
      <c r="Q150" s="79"/>
      <c r="R150" s="78">
        <v>0.010261689999999997</v>
      </c>
      <c r="S150" s="78">
        <v>0.030785069999999994</v>
      </c>
      <c r="T150" s="78">
        <v>0.020523379999999994</v>
      </c>
      <c r="U150" s="78">
        <v>0.33555726299999994</v>
      </c>
      <c r="V150" s="78">
        <v>0.2052338</v>
      </c>
      <c r="W150" s="78">
        <v>0.011287858999999997</v>
      </c>
      <c r="X150" s="75" t="s">
        <v>175</v>
      </c>
      <c r="Y150" s="75" t="s">
        <v>175</v>
      </c>
      <c r="Z150" s="75" t="s">
        <v>175</v>
      </c>
      <c r="AA150" s="75" t="s">
        <v>6</v>
      </c>
      <c r="AB150" s="75" t="s">
        <v>6</v>
      </c>
      <c r="AC150" s="75" t="s">
        <v>7</v>
      </c>
      <c r="AD150" s="81" t="s">
        <v>249</v>
      </c>
      <c r="AE150" s="75">
        <v>0.02</v>
      </c>
      <c r="AF150" s="81" t="s">
        <v>42</v>
      </c>
      <c r="AG150" s="75">
        <v>2</v>
      </c>
      <c r="AH150" s="75" t="s">
        <v>5</v>
      </c>
      <c r="AI150" s="75" t="s">
        <v>5</v>
      </c>
      <c r="AJ150" s="75" t="s">
        <v>5</v>
      </c>
      <c r="AK150" s="75" t="s">
        <v>5</v>
      </c>
      <c r="AL150" s="78">
        <f>0.7/1000*100</f>
        <v>0.06999999999999999</v>
      </c>
      <c r="AM150" s="75" t="s">
        <v>7</v>
      </c>
    </row>
    <row r="151" spans="1:55" ht="15">
      <c r="A151" s="73" t="s">
        <v>266</v>
      </c>
      <c r="B151" s="74" t="s">
        <v>204</v>
      </c>
      <c r="P151" s="75">
        <v>5.1</v>
      </c>
      <c r="Q151" s="79">
        <f>(P151*0.791)/$C$150</f>
        <v>3.982329713721619</v>
      </c>
      <c r="R151" s="79"/>
      <c r="S151" s="79"/>
      <c r="T151" s="79"/>
      <c r="U151" s="79"/>
      <c r="V151" s="79"/>
      <c r="W151" s="79"/>
      <c r="AN151" s="75" t="s">
        <v>7</v>
      </c>
      <c r="AO151" s="75">
        <f>23/10</f>
        <v>2.3</v>
      </c>
      <c r="AP151" s="75" t="s">
        <v>125</v>
      </c>
      <c r="AQ151" s="75" t="s">
        <v>7</v>
      </c>
      <c r="AR151" s="75">
        <f>0.12/10</f>
        <v>0.012</v>
      </c>
      <c r="AS151" s="75">
        <f>59/10</f>
        <v>5.9</v>
      </c>
      <c r="AT151" s="75" t="s">
        <v>7</v>
      </c>
      <c r="AU151" s="75">
        <f>0.079/10</f>
        <v>0.0079</v>
      </c>
      <c r="AV151" s="75">
        <f>420/10</f>
        <v>42</v>
      </c>
      <c r="AW151" s="75" t="s">
        <v>7</v>
      </c>
      <c r="AX151" s="75">
        <f>16/10</f>
        <v>1.6</v>
      </c>
      <c r="AY151" s="75">
        <f>0.15/10</f>
        <v>0.015</v>
      </c>
      <c r="AZ151" s="75" t="s">
        <v>7</v>
      </c>
      <c r="BA151" s="75" t="s">
        <v>7</v>
      </c>
      <c r="BB151" s="75">
        <f>0.29/10*1000</f>
        <v>28.999999999999996</v>
      </c>
      <c r="BC151" s="75">
        <v>3.5</v>
      </c>
    </row>
    <row r="152" spans="1:55" ht="15">
      <c r="A152" s="73" t="s">
        <v>266</v>
      </c>
      <c r="B152" s="74" t="s">
        <v>129</v>
      </c>
      <c r="P152" s="75">
        <v>4.4</v>
      </c>
      <c r="Q152" s="79">
        <f aca="true" t="shared" si="16" ref="Q152:Q158">(P152*0.791)/$C$150</f>
        <v>3.4357354392892407</v>
      </c>
      <c r="R152" s="79"/>
      <c r="S152" s="79"/>
      <c r="T152" s="79"/>
      <c r="U152" s="79"/>
      <c r="V152" s="79"/>
      <c r="W152" s="79"/>
      <c r="AN152" s="75" t="s">
        <v>7</v>
      </c>
      <c r="AO152" s="75">
        <f>20/10</f>
        <v>2</v>
      </c>
      <c r="AP152" s="75">
        <f>0.17/10</f>
        <v>0.017</v>
      </c>
      <c r="AQ152" s="75" t="s">
        <v>7</v>
      </c>
      <c r="AR152" s="75">
        <f>0.11/10</f>
        <v>0.011</v>
      </c>
      <c r="AS152" s="75">
        <f>47/10</f>
        <v>4.7</v>
      </c>
      <c r="AT152" s="75" t="s">
        <v>7</v>
      </c>
      <c r="AU152" s="75">
        <f>0.057/10</f>
        <v>0.0057</v>
      </c>
      <c r="AV152" s="75">
        <f>490/10</f>
        <v>49</v>
      </c>
      <c r="AW152" s="75" t="s">
        <v>7</v>
      </c>
      <c r="AX152" s="75">
        <f>16/10</f>
        <v>1.6</v>
      </c>
      <c r="AY152" s="75">
        <f>0.15/10</f>
        <v>0.015</v>
      </c>
      <c r="AZ152" s="75" t="s">
        <v>7</v>
      </c>
      <c r="BA152" s="75" t="s">
        <v>7</v>
      </c>
      <c r="BB152" s="82">
        <f>0.4/10*1000</f>
        <v>40</v>
      </c>
      <c r="BC152" s="75">
        <v>1.2</v>
      </c>
    </row>
    <row r="153" spans="1:55" ht="15">
      <c r="A153" s="73" t="s">
        <v>266</v>
      </c>
      <c r="B153" s="74" t="s">
        <v>246</v>
      </c>
      <c r="P153" s="75">
        <v>4.6</v>
      </c>
      <c r="Q153" s="79">
        <f t="shared" si="16"/>
        <v>3.5919052319842053</v>
      </c>
      <c r="R153" s="79"/>
      <c r="S153" s="79"/>
      <c r="T153" s="79"/>
      <c r="U153" s="79"/>
      <c r="V153" s="79"/>
      <c r="W153" s="79"/>
      <c r="AN153" s="75" t="s">
        <v>7</v>
      </c>
      <c r="AO153" s="75">
        <f>71/10</f>
        <v>7.1</v>
      </c>
      <c r="AP153" s="75">
        <f>0.011/10</f>
        <v>0.0010999999999999998</v>
      </c>
      <c r="AQ153" s="75" t="s">
        <v>7</v>
      </c>
      <c r="AR153" s="75">
        <f>0.081/10</f>
        <v>0.0081</v>
      </c>
      <c r="AS153" s="75">
        <v>39</v>
      </c>
      <c r="AT153" s="75" t="s">
        <v>7</v>
      </c>
      <c r="AU153" s="75">
        <f>0.39/10</f>
        <v>0.039</v>
      </c>
      <c r="AV153" s="75">
        <f>280/10</f>
        <v>28</v>
      </c>
      <c r="AW153" s="75" t="s">
        <v>7</v>
      </c>
      <c r="AX153" s="75">
        <f>16/10</f>
        <v>1.6</v>
      </c>
      <c r="AY153" s="75">
        <f>0.16/10</f>
        <v>0.016</v>
      </c>
      <c r="AZ153" s="75" t="s">
        <v>7</v>
      </c>
      <c r="BA153" s="75" t="s">
        <v>7</v>
      </c>
      <c r="BB153" s="75">
        <f>0.18/10*1000</f>
        <v>18</v>
      </c>
      <c r="BC153" s="75">
        <v>2.2</v>
      </c>
    </row>
    <row r="154" spans="1:55" ht="15">
      <c r="A154" s="73" t="s">
        <v>266</v>
      </c>
      <c r="B154" s="74" t="s">
        <v>206</v>
      </c>
      <c r="P154" s="75">
        <v>5.3</v>
      </c>
      <c r="Q154" s="79">
        <f t="shared" si="16"/>
        <v>4.1384995064165855</v>
      </c>
      <c r="R154" s="79"/>
      <c r="S154" s="79"/>
      <c r="T154" s="79"/>
      <c r="U154" s="79"/>
      <c r="V154" s="79"/>
      <c r="W154" s="79"/>
      <c r="AN154" s="75" t="s">
        <v>7</v>
      </c>
      <c r="AO154" s="75">
        <f>27/10</f>
        <v>2.7</v>
      </c>
      <c r="AP154" s="75">
        <f>0.26/10</f>
        <v>0.026000000000000002</v>
      </c>
      <c r="AQ154" s="79">
        <f>0.01/10*1000</f>
        <v>1</v>
      </c>
      <c r="AR154" s="80">
        <f>0.2/10</f>
        <v>0.02</v>
      </c>
      <c r="AS154" s="75">
        <f>110/10</f>
        <v>11</v>
      </c>
      <c r="AT154" s="75" t="s">
        <v>7</v>
      </c>
      <c r="AU154" s="75">
        <f>0.02/10</f>
        <v>0.002</v>
      </c>
      <c r="AV154" s="75">
        <f>1100/10</f>
        <v>110</v>
      </c>
      <c r="AW154" s="75" t="s">
        <v>7</v>
      </c>
      <c r="AX154" s="75">
        <f>33/10</f>
        <v>3.3</v>
      </c>
      <c r="AY154" s="75">
        <f>0.41/10</f>
        <v>0.040999999999999995</v>
      </c>
      <c r="AZ154" s="75" t="s">
        <v>7</v>
      </c>
      <c r="BA154" s="75" t="s">
        <v>7</v>
      </c>
      <c r="BB154" s="75">
        <f>0.42/10*1000</f>
        <v>41.99999999999999</v>
      </c>
      <c r="BC154" s="75">
        <v>3.3</v>
      </c>
    </row>
    <row r="155" spans="1:55" ht="15">
      <c r="A155" s="73" t="s">
        <v>266</v>
      </c>
      <c r="B155" s="74" t="s">
        <v>132</v>
      </c>
      <c r="P155" s="75">
        <v>5.1</v>
      </c>
      <c r="Q155" s="79">
        <f t="shared" si="16"/>
        <v>3.982329713721619</v>
      </c>
      <c r="R155" s="79"/>
      <c r="S155" s="79"/>
      <c r="T155" s="79"/>
      <c r="U155" s="79"/>
      <c r="V155" s="79"/>
      <c r="W155" s="79"/>
      <c r="AN155" s="75" t="s">
        <v>7</v>
      </c>
      <c r="AO155" s="75">
        <f>11/10</f>
        <v>1.1</v>
      </c>
      <c r="AP155" s="75">
        <f>0.014/10</f>
        <v>0.0014</v>
      </c>
      <c r="AQ155" s="75" t="s">
        <v>7</v>
      </c>
      <c r="AR155" s="80">
        <f>0.1/10</f>
        <v>0.01</v>
      </c>
      <c r="AS155" s="75">
        <f>110/10</f>
        <v>11</v>
      </c>
      <c r="AT155" s="75" t="s">
        <v>7</v>
      </c>
      <c r="AU155" s="75">
        <f>0.033/10</f>
        <v>0.0033</v>
      </c>
      <c r="AV155" s="75">
        <f>560/10</f>
        <v>56</v>
      </c>
      <c r="AW155" s="75" t="s">
        <v>7</v>
      </c>
      <c r="AX155" s="75">
        <f>15/10</f>
        <v>1.5</v>
      </c>
      <c r="AY155" s="75">
        <f>0.15/10</f>
        <v>0.015</v>
      </c>
      <c r="AZ155" s="75" t="s">
        <v>7</v>
      </c>
      <c r="BA155" s="75" t="s">
        <v>7</v>
      </c>
      <c r="BB155" s="75">
        <f>0.11/10*1000</f>
        <v>11</v>
      </c>
      <c r="BC155" s="75">
        <v>1.9</v>
      </c>
    </row>
    <row r="156" spans="1:55" ht="15">
      <c r="A156" s="73" t="s">
        <v>266</v>
      </c>
      <c r="B156" s="74" t="s">
        <v>247</v>
      </c>
      <c r="P156" s="75">
        <v>5.2</v>
      </c>
      <c r="Q156" s="79">
        <f t="shared" si="16"/>
        <v>4.060414610069102</v>
      </c>
      <c r="R156" s="79"/>
      <c r="S156" s="79"/>
      <c r="T156" s="79"/>
      <c r="U156" s="79"/>
      <c r="V156" s="79"/>
      <c r="W156" s="79"/>
      <c r="AN156" s="75" t="s">
        <v>7</v>
      </c>
      <c r="AO156" s="75">
        <f>23/10</f>
        <v>2.3</v>
      </c>
      <c r="AP156" s="75" t="s">
        <v>125</v>
      </c>
      <c r="AQ156" s="75" t="s">
        <v>7</v>
      </c>
      <c r="AR156" s="75">
        <f>0.12/10</f>
        <v>0.012</v>
      </c>
      <c r="AS156" s="75">
        <f>59/10</f>
        <v>5.9</v>
      </c>
      <c r="AT156" s="75" t="s">
        <v>7</v>
      </c>
      <c r="AU156" s="75">
        <f>0.12/10</f>
        <v>0.012</v>
      </c>
      <c r="AV156" s="75">
        <f>440/10</f>
        <v>44</v>
      </c>
      <c r="AW156" s="75" t="s">
        <v>7</v>
      </c>
      <c r="AX156" s="75">
        <f>17/10</f>
        <v>1.7</v>
      </c>
      <c r="AY156" s="75">
        <f>0.17/10</f>
        <v>0.017</v>
      </c>
      <c r="AZ156" s="75">
        <f>0.012/10*1000</f>
        <v>1.2000000000000002</v>
      </c>
      <c r="BA156" s="75" t="s">
        <v>7</v>
      </c>
      <c r="BB156" s="75">
        <f>0.25/10*1000</f>
        <v>25</v>
      </c>
      <c r="BC156" s="75">
        <v>3.9</v>
      </c>
    </row>
    <row r="157" spans="1:55" ht="15">
      <c r="A157" s="73" t="s">
        <v>266</v>
      </c>
      <c r="B157" s="74" t="s">
        <v>207</v>
      </c>
      <c r="P157" s="75">
        <v>5.3</v>
      </c>
      <c r="Q157" s="79">
        <f t="shared" si="16"/>
        <v>4.1384995064165855</v>
      </c>
      <c r="R157" s="79"/>
      <c r="S157" s="79"/>
      <c r="T157" s="79"/>
      <c r="U157" s="79"/>
      <c r="V157" s="79"/>
      <c r="W157" s="79"/>
      <c r="AN157" s="75" t="s">
        <v>7</v>
      </c>
      <c r="AO157" s="75">
        <f>20/10</f>
        <v>2</v>
      </c>
      <c r="AP157" s="75" t="s">
        <v>125</v>
      </c>
      <c r="AQ157" s="75" t="s">
        <v>7</v>
      </c>
      <c r="AR157" s="75">
        <f>0.18/10</f>
        <v>0.018</v>
      </c>
      <c r="AS157" s="75">
        <f>110/10</f>
        <v>11</v>
      </c>
      <c r="AT157" s="75" t="s">
        <v>7</v>
      </c>
      <c r="AU157" s="75">
        <f>0.11/10</f>
        <v>0.011</v>
      </c>
      <c r="AV157" s="75">
        <f>550/10</f>
        <v>55</v>
      </c>
      <c r="AW157" s="75" t="s">
        <v>7</v>
      </c>
      <c r="AX157" s="75">
        <f>17/10</f>
        <v>1.7</v>
      </c>
      <c r="AY157" s="75">
        <f>0.12/10</f>
        <v>0.012</v>
      </c>
      <c r="AZ157" s="75" t="s">
        <v>7</v>
      </c>
      <c r="BA157" s="75" t="s">
        <v>7</v>
      </c>
      <c r="BB157" s="82">
        <f>0.2/10*1000</f>
        <v>20</v>
      </c>
      <c r="BC157" s="75">
        <v>4.6</v>
      </c>
    </row>
    <row r="158" spans="1:55" ht="15">
      <c r="A158" s="73" t="s">
        <v>266</v>
      </c>
      <c r="B158" s="74" t="s">
        <v>208</v>
      </c>
      <c r="P158" s="75">
        <v>5.1</v>
      </c>
      <c r="Q158" s="79">
        <f t="shared" si="16"/>
        <v>3.982329713721619</v>
      </c>
      <c r="R158" s="79"/>
      <c r="S158" s="79"/>
      <c r="T158" s="79"/>
      <c r="U158" s="79"/>
      <c r="V158" s="79"/>
      <c r="W158" s="79"/>
      <c r="AN158" s="75" t="s">
        <v>7</v>
      </c>
      <c r="AO158" s="75">
        <f>23/10</f>
        <v>2.3</v>
      </c>
      <c r="AP158" s="75" t="s">
        <v>125</v>
      </c>
      <c r="AQ158" s="75" t="s">
        <v>7</v>
      </c>
      <c r="AR158" s="75">
        <f>0.12/10</f>
        <v>0.012</v>
      </c>
      <c r="AS158" s="75">
        <f>59/10</f>
        <v>5.9</v>
      </c>
      <c r="AT158" s="75" t="s">
        <v>7</v>
      </c>
      <c r="AU158" s="80">
        <f>0.2/10</f>
        <v>0.02</v>
      </c>
      <c r="AV158" s="75">
        <f>600/10</f>
        <v>60</v>
      </c>
      <c r="AW158" s="75" t="s">
        <v>7</v>
      </c>
      <c r="AX158" s="75">
        <f>19/10</f>
        <v>1.9</v>
      </c>
      <c r="AY158" s="75">
        <f>0.12/10</f>
        <v>0.012</v>
      </c>
      <c r="AZ158" s="78">
        <f>0.01/10*1000</f>
        <v>1</v>
      </c>
      <c r="BA158" s="75" t="s">
        <v>7</v>
      </c>
      <c r="BB158" s="75">
        <f>0.25/10*1000</f>
        <v>25</v>
      </c>
      <c r="BC158" s="75">
        <v>3.7</v>
      </c>
    </row>
    <row r="159" spans="1:55" s="58" customFormat="1" ht="15" hidden="1">
      <c r="A159" s="58" t="s">
        <v>267</v>
      </c>
      <c r="B159" s="59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60"/>
      <c r="Q159" s="83">
        <f>AVERAGE(Q151:Q158)</f>
        <v>3.914005429417572</v>
      </c>
      <c r="R159" s="60"/>
      <c r="S159" s="60"/>
      <c r="T159" s="60"/>
      <c r="U159" s="60"/>
      <c r="V159" s="60"/>
      <c r="W159" s="60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60"/>
      <c r="AN159" s="60" t="s">
        <v>7</v>
      </c>
      <c r="AO159" s="60">
        <f>AVERAGE(AO151:AO158)</f>
        <v>2.7249999999999996</v>
      </c>
      <c r="AP159" s="84">
        <f>AVERAGE(AP151:AP158)</f>
        <v>0.011375</v>
      </c>
      <c r="AQ159" s="60" t="s">
        <v>7</v>
      </c>
      <c r="AR159" s="84">
        <f>AVERAGE(AR151:AR158)</f>
        <v>0.0128875</v>
      </c>
      <c r="AS159" s="83">
        <f>AVERAGE(AS151:AS158)</f>
        <v>11.8</v>
      </c>
      <c r="AT159" s="60" t="s">
        <v>7</v>
      </c>
      <c r="AU159" s="85">
        <f>AVERAGE(AU151:AU158)</f>
        <v>0.0126125</v>
      </c>
      <c r="AV159" s="86">
        <f>AVERAGE(AV151:AV158)</f>
        <v>55.5</v>
      </c>
      <c r="AW159" s="60" t="s">
        <v>7</v>
      </c>
      <c r="AX159" s="60">
        <f>AVERAGE(AX151:AX158)</f>
        <v>1.8625</v>
      </c>
      <c r="AY159" s="85">
        <f>AVERAGE(AY151:AY158)</f>
        <v>0.017875000000000002</v>
      </c>
      <c r="AZ159" s="60" t="s">
        <v>7</v>
      </c>
      <c r="BA159" s="60" t="s">
        <v>7</v>
      </c>
      <c r="BB159" s="86">
        <f>AVERAGE(BB151:BB158)</f>
        <v>26.25</v>
      </c>
      <c r="BC159" s="87">
        <f>AVERAGE(BC151:BC158)</f>
        <v>3.0375</v>
      </c>
    </row>
    <row r="160" spans="1:55" s="88" customFormat="1" ht="15" hidden="1">
      <c r="A160" s="88" t="s">
        <v>268</v>
      </c>
      <c r="B160" s="89"/>
      <c r="C160" s="75"/>
      <c r="D160" s="90" t="e">
        <f>VLOOKUP(#REF!,#REF!,7,FALSE)</f>
        <v>#REF!</v>
      </c>
      <c r="E160" s="90" t="e">
        <f>VLOOKUP(#REF!,#REF!,9,FALSE)</f>
        <v>#REF!</v>
      </c>
      <c r="F160" s="90" t="e">
        <f>VLOOKUP(#REF!,#REF!,8,FALSE)</f>
        <v>#REF!</v>
      </c>
      <c r="G160" s="91" t="e">
        <f>VLOOKUP(#REF!,#REF!,11,FALSE)</f>
        <v>#REF!</v>
      </c>
      <c r="H160" s="91" t="e">
        <f>VLOOKUP(#REF!,#REF!,12,FALSE)</f>
        <v>#REF!</v>
      </c>
      <c r="I160" s="91" t="e">
        <f>VLOOKUP(#REF!,#REF!,13,FALSE)</f>
        <v>#REF!</v>
      </c>
      <c r="J160" s="91" t="e">
        <f>VLOOKUP(#REF!,#REF!,14,FALSE)</f>
        <v>#REF!</v>
      </c>
      <c r="K160" s="91" t="e">
        <f>VLOOKUP(#REF!,#REF!,15,FALSE)</f>
        <v>#REF!</v>
      </c>
      <c r="L160" s="90" t="e">
        <f>VLOOKUP(#REF!,#REF!,13,FALSE)</f>
        <v>#REF!</v>
      </c>
      <c r="M160" s="75"/>
      <c r="N160" s="75"/>
      <c r="O160" s="90" t="e">
        <f>VLOOKUP(#REF!,#REF!,16,FALSE)</f>
        <v>#REF!</v>
      </c>
      <c r="P160" s="90"/>
      <c r="Q160" s="90" t="e">
        <f>VLOOKUP(#REF!,#REF!,15,FALSE)</f>
        <v>#REF!</v>
      </c>
      <c r="R160" s="90">
        <v>0.1</v>
      </c>
      <c r="S160" s="90">
        <v>0</v>
      </c>
      <c r="T160" s="90">
        <v>0</v>
      </c>
      <c r="U160" s="90">
        <v>0.3</v>
      </c>
      <c r="V160" s="90">
        <v>0</v>
      </c>
      <c r="W160" s="90">
        <v>0</v>
      </c>
      <c r="X160" s="90" t="e">
        <f>VLOOKUP(#REF!,#REF!,79,FALSE)</f>
        <v>#REF!</v>
      </c>
      <c r="Y160" s="90" t="e">
        <f>VLOOKUP(#REF!,#REF!,18,FALSE)</f>
        <v>#REF!</v>
      </c>
      <c r="Z160" s="90" t="e">
        <f>VLOOKUP(#REF!,#REF!,81,FALSE)</f>
        <v>#REF!</v>
      </c>
      <c r="AA160" s="90" t="e">
        <f>VLOOKUP(#REF!,#REF!,21,FALSE)</f>
        <v>#REF!</v>
      </c>
      <c r="AB160" s="90" t="e">
        <f>VLOOKUP(#REF!,#REF!,22,FALSE)</f>
        <v>#REF!</v>
      </c>
      <c r="AC160" s="90" t="e">
        <f>VLOOKUP(#REF!,#REF!,23,FALSE)</f>
        <v>#REF!</v>
      </c>
      <c r="AD160" s="90" t="e">
        <f>VLOOKUP(#REF!,#REF!,71,FALSE)</f>
        <v>#REF!</v>
      </c>
      <c r="AE160" s="90" t="e">
        <f>VLOOKUP(#REF!,#REF!,72,FALSE)</f>
        <v>#REF!</v>
      </c>
      <c r="AF160" s="90" t="e">
        <f>VLOOKUP(#REF!,#REF!,27,FALSE)</f>
        <v>#REF!</v>
      </c>
      <c r="AG160" s="90" t="e">
        <f>VLOOKUP(#REF!,#REF!,31,FALSE)</f>
        <v>#REF!</v>
      </c>
      <c r="AH160" s="90" t="e">
        <f>VLOOKUP(#REF!,#REF!,89,FALSE)</f>
        <v>#REF!</v>
      </c>
      <c r="AI160" s="90" t="e">
        <f>VLOOKUP(#REF!,#REF!,91,FALSE)</f>
        <v>#REF!</v>
      </c>
      <c r="AJ160" s="90" t="e">
        <f>VLOOKUP(#REF!,#REF!,93,FALSE)</f>
        <v>#REF!</v>
      </c>
      <c r="AK160" s="90" t="e">
        <f>VLOOKUP(#REF!,#REF!,95,FALSE)</f>
        <v>#REF!</v>
      </c>
      <c r="AL160" s="92" t="e">
        <f>VLOOKUP(#REF!,#REF!,45,FALSE)</f>
        <v>#REF!</v>
      </c>
      <c r="AM160" s="90"/>
      <c r="AN160" s="90" t="e">
        <f>VLOOKUP(#REF!,#REF!,45,FALSE)</f>
        <v>#REF!</v>
      </c>
      <c r="AO160" s="90">
        <v>4</v>
      </c>
      <c r="AP160" s="93" t="e">
        <f>VLOOKUP(#REF!,#REF!,50,FALSE)</f>
        <v>#REF!</v>
      </c>
      <c r="AQ160" s="93" t="e">
        <f>VLOOKUP(#REF!,#REF!,54,FALSE)</f>
        <v>#REF!</v>
      </c>
      <c r="AR160" s="92" t="e">
        <f>VLOOKUP(#REF!,#REF!,56,FALSE)</f>
        <v>#REF!</v>
      </c>
      <c r="AS160" s="90">
        <v>15</v>
      </c>
      <c r="AT160" s="90">
        <v>0.5</v>
      </c>
      <c r="AU160" s="90">
        <v>0</v>
      </c>
      <c r="AV160" s="90">
        <v>36</v>
      </c>
      <c r="AW160" s="93" t="e">
        <f>VLOOKUP(#REF!,#REF!,58,FALSE)</f>
        <v>#REF!</v>
      </c>
      <c r="AX160" s="90">
        <v>8</v>
      </c>
      <c r="AY160" s="90">
        <v>0.06</v>
      </c>
      <c r="AZ160" s="93" t="e">
        <f>VLOOKUP(#REF!,#REF!,48,FALSE)</f>
        <v>#REF!</v>
      </c>
      <c r="BA160" s="93" t="e">
        <f>VLOOKUP(#REF!,#REF!,46,FALSE)</f>
        <v>#REF!</v>
      </c>
      <c r="BB160" s="93" t="e">
        <f>VLOOKUP(#REF!,#REF!,43,FALSE)</f>
        <v>#REF!</v>
      </c>
      <c r="BC160" s="90">
        <v>10</v>
      </c>
    </row>
    <row r="161" spans="1:55" s="88" customFormat="1" ht="15" hidden="1">
      <c r="A161" s="88" t="s">
        <v>269</v>
      </c>
      <c r="B161" s="89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90"/>
      <c r="Q161" s="90"/>
      <c r="R161" s="90"/>
      <c r="S161" s="90"/>
      <c r="T161" s="90"/>
      <c r="U161" s="90"/>
      <c r="V161" s="90"/>
      <c r="W161" s="90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</row>
    <row r="170" spans="19:23" ht="15">
      <c r="S170" s="60"/>
      <c r="U170" s="60"/>
      <c r="W170" s="6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1 Key foods program data table</dc:title>
  <dc:subject/>
  <dc:creator>Ballantyne, Danielle</dc:creator>
  <cp:keywords>2014-15 Key foods program; results; phase 1-4; data table</cp:keywords>
  <dc:description/>
  <cp:lastModifiedBy>ballad</cp:lastModifiedBy>
  <cp:lastPrinted>2015-02-02T22:34:27Z</cp:lastPrinted>
  <dcterms:created xsi:type="dcterms:W3CDTF">2014-11-26T02:42:02Z</dcterms:created>
  <dcterms:modified xsi:type="dcterms:W3CDTF">2017-02-02T23:09:25Z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-2122797709</vt:i4>
  </property>
  <property fmtid="{D5CDD505-2E9C-101B-9397-08002B2CF9AE}" pid="3" name="_NewReviewCycle">
    <vt:lpwstr/>
  </property>
  <property fmtid="{D5CDD505-2E9C-101B-9397-08002B2CF9AE}" pid="4" name="_EmailSubject">
    <vt:lpwstr>Key Food Program 2014 _Stage 1-Results</vt:lpwstr>
  </property>
  <property fmtid="{D5CDD505-2E9C-101B-9397-08002B2CF9AE}" pid="5" name="_AuthorEmail">
    <vt:lpwstr>Paul.Adorno@measurement.gov.au</vt:lpwstr>
  </property>
  <property fmtid="{D5CDD505-2E9C-101B-9397-08002B2CF9AE}" pid="6" name="_AuthorEmailDisplayName">
    <vt:lpwstr>Adorno, Paul</vt:lpwstr>
  </property>
  <property fmtid="{D5CDD505-2E9C-101B-9397-08002B2CF9AE}" pid="7" name="_ReviewingToolsShownOnce">
    <vt:lpwstr/>
  </property>
  <property fmtid="{D5CDD505-2E9C-101B-9397-08002B2CF9AE}" pid="8" name="_dlc_DocId">
    <vt:lpwstr>MMF7YEMDTSDN-62-19758</vt:lpwstr>
  </property>
  <property fmtid="{D5CDD505-2E9C-101B-9397-08002B2CF9AE}" pid="9" name="_dlc_DocIdItemGuid">
    <vt:lpwstr>35989316-fe31-43ce-b7d4-51e9866277a7</vt:lpwstr>
  </property>
  <property fmtid="{D5CDD505-2E9C-101B-9397-08002B2CF9AE}" pid="10" name="_dlc_DocIdUrl">
    <vt:lpwstr>http://fsintranet/Sections/FDA/_layouts/15/DocIdRedir.aspx?ID=MMF7YEMDTSDN-62-19758, MMF7YEMDTSDN-62-19758</vt:lpwstr>
  </property>
  <property fmtid="{D5CDD505-2E9C-101B-9397-08002B2CF9AE}" pid="11" name="ContentTypeId">
    <vt:lpwstr>0x01010004C4C934AD08B647A78FCADD498BE31902001D0D119FBD89874DA90993643939D4CA</vt:lpwstr>
  </property>
  <property fmtid="{D5CDD505-2E9C-101B-9397-08002B2CF9AE}" pid="12" name="bd06d2da0152468b9236b575a71e0e7c">
    <vt:lpwstr>Food composition|7c527010-1ea0-4172-9cfd-8d72262fcf50</vt:lpwstr>
  </property>
  <property fmtid="{D5CDD505-2E9C-101B-9397-08002B2CF9AE}" pid="13" name="DisposalClass">
    <vt:lpwstr>196;#|a2e30e40-21ac-4626-9301-d4016fbce331</vt:lpwstr>
  </property>
  <property fmtid="{D5CDD505-2E9C-101B-9397-08002B2CF9AE}" pid="14" name="BCS_">
    <vt:lpwstr>195;#Food composition|7c527010-1ea0-4172-9cfd-8d72262fcf50</vt:lpwstr>
  </property>
  <property fmtid="{D5CDD505-2E9C-101B-9397-08002B2CF9AE}" pid="15" name="a41428b017d04df981d58ffdf035d7b8">
    <vt:lpwstr>|a2e30e40-21ac-4626-9301-d4016fbce331</vt:lpwstr>
  </property>
  <property fmtid="{D5CDD505-2E9C-101B-9397-08002B2CF9AE}" pid="16" name="TaxCatchAll">
    <vt:lpwstr>196;#|a2e30e40-21ac-4626-9301-d4016fbce331;#195;#Food composition|7c527010-1ea0-4172-9cfd-8d72262fcf50</vt:lpwstr>
  </property>
  <property fmtid="{D5CDD505-2E9C-101B-9397-08002B2CF9AE}" pid="17" name="Related project">
    <vt:lpwstr>2014-15 Key foods program-Phase 1-4</vt:lpwstr>
  </property>
  <property fmtid="{D5CDD505-2E9C-101B-9397-08002B2CF9AE}" pid="18" name="_dlc_DocIdPersistId">
    <vt:lpwstr>0</vt:lpwstr>
  </property>
  <property fmtid="{D5CDD505-2E9C-101B-9397-08002B2CF9AE}" pid="19" name="SPPCopyMoveEvent">
    <vt:lpwstr>1</vt:lpwstr>
  </property>
  <property fmtid="{D5CDD505-2E9C-101B-9397-08002B2CF9AE}" pid="20" name="wic_System_Copyright">
    <vt:lpwstr/>
  </property>
</Properties>
</file>